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080" yWindow="100" windowWidth="17700" windowHeight="20520" activeTab="0"/>
  </bookViews>
  <sheets>
    <sheet name="INCHKEITH TROPHY" sheetId="1" r:id="rId1"/>
  </sheets>
  <definedNames>
    <definedName name="_xlnm.Print_Area" localSheetId="0">'INCHKEITH TROPHY'!$A$1:$N$12</definedName>
  </definedNames>
  <calcPr fullCalcOnLoad="1"/>
</workbook>
</file>

<file path=xl/sharedStrings.xml><?xml version="1.0" encoding="utf-8"?>
<sst xmlns="http://schemas.openxmlformats.org/spreadsheetml/2006/main" count="82" uniqueCount="70">
  <si>
    <t>PY</t>
  </si>
  <si>
    <t>H/cap</t>
  </si>
  <si>
    <t>Elapsed</t>
  </si>
  <si>
    <t>Corrected</t>
  </si>
  <si>
    <t>YR2</t>
  </si>
  <si>
    <t>Place</t>
  </si>
  <si>
    <t>Flag</t>
  </si>
  <si>
    <t>Class</t>
  </si>
  <si>
    <t>Sail No.</t>
  </si>
  <si>
    <t>Finish</t>
  </si>
  <si>
    <t>Achieved</t>
  </si>
  <si>
    <t>SCT</t>
  </si>
  <si>
    <t>input?</t>
  </si>
  <si>
    <t>Race ordered</t>
  </si>
  <si>
    <t>Count of finishers</t>
  </si>
  <si>
    <t>Count of ordered</t>
  </si>
  <si>
    <t>SCT from 2+ boats</t>
  </si>
  <si>
    <t>Finishers</t>
  </si>
  <si>
    <t>Finisher</t>
  </si>
  <si>
    <t>count</t>
  </si>
  <si>
    <t>Position</t>
  </si>
  <si>
    <t>Race</t>
  </si>
  <si>
    <t>Boat Name</t>
  </si>
  <si>
    <t>Date</t>
  </si>
  <si>
    <t>Default</t>
  </si>
  <si>
    <t>exc TN</t>
  </si>
  <si>
    <t>2/3 exc TN</t>
  </si>
  <si>
    <t>Count</t>
  </si>
  <si>
    <t>ACTx1.05</t>
  </si>
  <si>
    <t>ACT =</t>
  </si>
  <si>
    <t>Standard corrected time</t>
  </si>
  <si>
    <t>time</t>
  </si>
  <si>
    <t>performance</t>
  </si>
  <si>
    <t>status</t>
  </si>
  <si>
    <t>Note: Press Ctrl+y to calculate race result. Warning: Do not use 'Cut' (Ctrl+x) to move data!</t>
  </si>
  <si>
    <t>Laps</t>
  </si>
  <si>
    <t>%</t>
  </si>
  <si>
    <t>Max</t>
  </si>
  <si>
    <t>FYCA_YR2.xls issue C</t>
  </si>
  <si>
    <t>DATE</t>
  </si>
  <si>
    <t>EVENT</t>
  </si>
  <si>
    <t>Div 1</t>
  </si>
  <si>
    <t>BOATNAME</t>
  </si>
  <si>
    <t>BOATCLASS</t>
  </si>
  <si>
    <t>SAILNO</t>
  </si>
  <si>
    <t>BID</t>
  </si>
  <si>
    <t>HCAP</t>
  </si>
  <si>
    <t>PLACE</t>
  </si>
  <si>
    <t>FINTIME</t>
  </si>
  <si>
    <t>LAPS</t>
  </si>
  <si>
    <t>ELAPSED</t>
  </si>
  <si>
    <t>CORRECTED</t>
  </si>
  <si>
    <t>ACHHC</t>
  </si>
  <si>
    <t>NEWHC</t>
  </si>
  <si>
    <t>A</t>
  </si>
  <si>
    <t>C</t>
  </si>
  <si>
    <t>OHP</t>
  </si>
  <si>
    <t>PRFDX</t>
  </si>
  <si>
    <t>RID</t>
  </si>
  <si>
    <t>FYCA Performance Database - Transfer File</t>
  </si>
  <si>
    <t>CN</t>
  </si>
  <si>
    <t>Friday White Sail 1</t>
  </si>
  <si>
    <t>J 97e</t>
  </si>
  <si>
    <t>SMIJ</t>
  </si>
  <si>
    <t>HUSTLER SJ30</t>
  </si>
  <si>
    <t>HENCEFORTH</t>
  </si>
  <si>
    <t>CORBY 29</t>
  </si>
  <si>
    <t>EUROBO</t>
  </si>
  <si>
    <t>RONAUT RO330</t>
  </si>
  <si>
    <t>TBP</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</si>
</sst>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0000000"/>
    <numFmt numFmtId="172" formatCode="0.000000"/>
    <numFmt numFmtId="173" formatCode="0.0%"/>
    <numFmt numFmtId="174" formatCode="0.000"/>
    <numFmt numFmtId="175" formatCode="[$-809]dd\ mmmm\ yyyy;@"/>
    <numFmt numFmtId="176" formatCode="h:mm:ss;@"/>
  </numFmts>
  <fonts count="41">
    <font>
      <sz val="10"/>
      <name val="Arial"/>
      <family val="0"/>
    </font>
    <font>
      <b/>
      <sz val="10"/>
      <name val="Arial"/>
      <family val="2"/>
    </font>
    <font>
      <sz val="8"/>
      <name val="Arial"/>
      <family val="2"/>
    </font>
    <font>
      <b/>
      <sz val="14"/>
      <color indexed="10"/>
      <name val="Arial"/>
      <family val="2"/>
    </font>
    <font>
      <sz val="10"/>
      <color indexed="8"/>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1"/>
      <color indexed="8"/>
      <name val="Arial"/>
      <family val="0"/>
    </font>
    <font>
      <sz val="11"/>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style="thin"/>
      <bottom>
        <color indexed="63"/>
      </bottom>
    </border>
    <border>
      <left style="thin"/>
      <right style="thin"/>
      <top style="thin"/>
      <bottom>
        <color indexed="63"/>
      </botto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7">
    <xf numFmtId="0" fontId="0" fillId="0" borderId="0" xfId="0" applyAlignment="1">
      <alignment/>
    </xf>
    <xf numFmtId="0" fontId="0" fillId="0" borderId="0" xfId="0" applyBorder="1" applyAlignment="1" applyProtection="1">
      <alignment horizontal="center" vertical="center"/>
      <protection locked="0"/>
    </xf>
    <xf numFmtId="21" fontId="0" fillId="0" borderId="0" xfId="0" applyNumberFormat="1" applyBorder="1" applyAlignment="1" applyProtection="1">
      <alignment horizontal="center" vertical="center"/>
      <protection locked="0"/>
    </xf>
    <xf numFmtId="0" fontId="1" fillId="33" borderId="10" xfId="0" applyFont="1"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21" fontId="1" fillId="33" borderId="11" xfId="0" applyNumberFormat="1" applyFont="1" applyFill="1" applyBorder="1" applyAlignment="1" applyProtection="1">
      <alignment horizontal="center" vertical="center"/>
      <protection/>
    </xf>
    <xf numFmtId="21" fontId="0" fillId="33" borderId="11" xfId="0" applyNumberFormat="1"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21" fontId="1" fillId="33" borderId="13" xfId="0" applyNumberFormat="1" applyFont="1" applyFill="1" applyBorder="1" applyAlignment="1" applyProtection="1">
      <alignment horizontal="center" vertical="center"/>
      <protection/>
    </xf>
    <xf numFmtId="21" fontId="1" fillId="0" borderId="0" xfId="0" applyNumberFormat="1" applyFont="1" applyBorder="1" applyAlignment="1" applyProtection="1">
      <alignment horizontal="center"/>
      <protection/>
    </xf>
    <xf numFmtId="0" fontId="0" fillId="33" borderId="14" xfId="0" applyFill="1" applyBorder="1" applyAlignment="1" applyProtection="1">
      <alignment horizontal="center" vertical="center"/>
      <protection/>
    </xf>
    <xf numFmtId="21" fontId="1" fillId="33" borderId="12" xfId="0" applyNumberFormat="1" applyFont="1" applyFill="1" applyBorder="1" applyAlignment="1" applyProtection="1">
      <alignment horizontal="center" vertical="center"/>
      <protection/>
    </xf>
    <xf numFmtId="21" fontId="1" fillId="33" borderId="15" xfId="0" applyNumberFormat="1" applyFont="1" applyFill="1" applyBorder="1" applyAlignment="1" applyProtection="1">
      <alignment horizontal="center" vertical="center"/>
      <protection/>
    </xf>
    <xf numFmtId="21" fontId="0" fillId="0" borderId="0" xfId="0" applyNumberFormat="1" applyBorder="1" applyAlignment="1" applyProtection="1">
      <alignment horizontal="center" vertical="center"/>
      <protection/>
    </xf>
    <xf numFmtId="1" fontId="1" fillId="0" borderId="0" xfId="0" applyNumberFormat="1" applyFont="1" applyBorder="1" applyAlignment="1" applyProtection="1">
      <alignment horizontal="center" vertical="center"/>
      <protection/>
    </xf>
    <xf numFmtId="1" fontId="0" fillId="0" borderId="0" xfId="0" applyNumberFormat="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21" fontId="2" fillId="33" borderId="13" xfId="0" applyNumberFormat="1"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0" fillId="0" borderId="0" xfId="0" applyBorder="1" applyAlignment="1" applyProtection="1">
      <alignment horizontal="center"/>
      <protection/>
    </xf>
    <xf numFmtId="21" fontId="0" fillId="0" borderId="0" xfId="0" applyNumberFormat="1" applyBorder="1" applyAlignment="1" applyProtection="1">
      <alignment horizontal="center"/>
      <protection/>
    </xf>
    <xf numFmtId="21" fontId="0" fillId="0" borderId="0" xfId="0" applyNumberFormat="1" applyBorder="1" applyAlignment="1" applyProtection="1">
      <alignment/>
      <protection/>
    </xf>
    <xf numFmtId="171" fontId="1" fillId="0" borderId="0" xfId="0" applyNumberFormat="1" applyFont="1" applyBorder="1" applyAlignment="1" applyProtection="1">
      <alignment/>
      <protection/>
    </xf>
    <xf numFmtId="21" fontId="0" fillId="0" borderId="0" xfId="0" applyNumberFormat="1" applyFont="1" applyBorder="1"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horizontal="right"/>
      <protection/>
    </xf>
    <xf numFmtId="0" fontId="0" fillId="33" borderId="0" xfId="0" applyFill="1" applyBorder="1" applyAlignment="1" applyProtection="1">
      <alignment horizontal="center" vertical="center"/>
      <protection/>
    </xf>
    <xf numFmtId="21" fontId="0" fillId="33" borderId="0" xfId="0" applyNumberFormat="1" applyFill="1" applyBorder="1" applyAlignment="1" applyProtection="1">
      <alignment horizontal="center" vertical="center"/>
      <protection/>
    </xf>
    <xf numFmtId="46" fontId="0" fillId="0" borderId="0" xfId="0" applyNumberFormat="1" applyBorder="1" applyAlignment="1" applyProtection="1">
      <alignment horizontal="center"/>
      <protection/>
    </xf>
    <xf numFmtId="21" fontId="1" fillId="33" borderId="0" xfId="0" applyNumberFormat="1" applyFont="1" applyFill="1" applyBorder="1" applyAlignment="1" applyProtection="1">
      <alignment horizontal="left" vertical="center"/>
      <protection/>
    </xf>
    <xf numFmtId="1" fontId="1" fillId="0" borderId="0" xfId="0" applyNumberFormat="1" applyFont="1" applyBorder="1" applyAlignment="1" applyProtection="1">
      <alignment horizontal="center"/>
      <protection/>
    </xf>
    <xf numFmtId="0" fontId="0" fillId="0" borderId="0" xfId="0" applyFont="1" applyBorder="1" applyAlignment="1" applyProtection="1">
      <alignment horizontal="center"/>
      <protection/>
    </xf>
    <xf numFmtId="0" fontId="1" fillId="0" borderId="0" xfId="0" applyFont="1" applyBorder="1" applyAlignment="1" applyProtection="1">
      <alignment horizontal="center"/>
      <protection/>
    </xf>
    <xf numFmtId="0" fontId="0" fillId="0" borderId="0" xfId="0" applyFont="1" applyBorder="1" applyAlignment="1" applyProtection="1">
      <alignment horizontal="left"/>
      <protection/>
    </xf>
    <xf numFmtId="46" fontId="0" fillId="0" borderId="0" xfId="0" applyNumberFormat="1" applyBorder="1" applyAlignment="1" applyProtection="1">
      <alignment/>
      <protection/>
    </xf>
    <xf numFmtId="46"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protection/>
    </xf>
    <xf numFmtId="21" fontId="1" fillId="0" borderId="0" xfId="0" applyNumberFormat="1" applyFont="1" applyBorder="1" applyAlignment="1" applyProtection="1">
      <alignment/>
      <protection/>
    </xf>
    <xf numFmtId="21" fontId="0" fillId="33" borderId="16" xfId="0" applyNumberFormat="1" applyFill="1" applyBorder="1" applyAlignment="1" applyProtection="1">
      <alignment horizontal="center" vertical="center"/>
      <protection/>
    </xf>
    <xf numFmtId="0" fontId="0" fillId="34" borderId="17" xfId="0" applyFill="1" applyBorder="1" applyAlignment="1" applyProtection="1">
      <alignment horizontal="center" vertical="center"/>
      <protection locked="0"/>
    </xf>
    <xf numFmtId="15" fontId="0" fillId="34" borderId="18" xfId="0" applyNumberFormat="1" applyFill="1" applyBorder="1" applyAlignment="1" applyProtection="1">
      <alignment horizontal="center" vertical="center"/>
      <protection locked="0"/>
    </xf>
    <xf numFmtId="21" fontId="0" fillId="34" borderId="18" xfId="0" applyNumberFormat="1" applyFill="1" applyBorder="1" applyAlignment="1" applyProtection="1">
      <alignment horizontal="center" vertical="center"/>
      <protection locked="0"/>
    </xf>
    <xf numFmtId="21" fontId="0" fillId="34" borderId="18" xfId="0" applyNumberFormat="1" applyFill="1" applyBorder="1" applyAlignment="1" applyProtection="1">
      <alignment horizontal="center" vertical="center"/>
      <protection/>
    </xf>
    <xf numFmtId="0" fontId="0" fillId="0" borderId="0" xfId="0" applyBorder="1" applyAlignment="1">
      <alignment horizontal="left" vertical="center" indent="1"/>
    </xf>
    <xf numFmtId="0" fontId="0" fillId="0" borderId="0" xfId="0" applyBorder="1" applyAlignment="1">
      <alignment horizontal="left" vertical="center"/>
    </xf>
    <xf numFmtId="0" fontId="0" fillId="0" borderId="0" xfId="0" applyBorder="1" applyAlignment="1">
      <alignment horizontal="center" vertical="center"/>
    </xf>
    <xf numFmtId="173" fontId="0" fillId="0" borderId="0" xfId="0" applyNumberFormat="1" applyBorder="1" applyAlignment="1" applyProtection="1">
      <alignment horizontal="center" vertical="center"/>
      <protection/>
    </xf>
    <xf numFmtId="1" fontId="0" fillId="0" borderId="0" xfId="0" applyNumberFormat="1" applyFont="1" applyBorder="1" applyAlignment="1" applyProtection="1">
      <alignment horizontal="center"/>
      <protection/>
    </xf>
    <xf numFmtId="21" fontId="1" fillId="33" borderId="12" xfId="0" applyNumberFormat="1" applyFont="1" applyFill="1" applyBorder="1" applyAlignment="1" applyProtection="1">
      <alignment horizontal="left" vertical="center"/>
      <protection/>
    </xf>
    <xf numFmtId="0" fontId="4" fillId="0" borderId="0" xfId="0" applyFont="1" applyFill="1" applyBorder="1" applyAlignment="1" applyProtection="1">
      <alignment horizontal="left" vertical="center" indent="1"/>
      <protection locked="0"/>
    </xf>
    <xf numFmtId="0" fontId="4" fillId="0" borderId="0" xfId="0" applyFont="1" applyFill="1" applyBorder="1" applyAlignment="1" applyProtection="1">
      <alignment horizontal="left" vertical="center"/>
      <protection locked="0"/>
    </xf>
    <xf numFmtId="15" fontId="0" fillId="0" borderId="0" xfId="0" applyNumberFormat="1" applyBorder="1" applyAlignment="1" applyProtection="1">
      <alignment horizontal="left" vertical="center"/>
      <protection/>
    </xf>
    <xf numFmtId="1" fontId="0" fillId="0" borderId="0" xfId="0" applyNumberFormat="1" applyBorder="1" applyAlignment="1" applyProtection="1">
      <alignment horizontal="right" vertical="center"/>
      <protection/>
    </xf>
    <xf numFmtId="175" fontId="0" fillId="0" borderId="0" xfId="0" applyNumberFormat="1" applyBorder="1" applyAlignment="1" applyProtection="1">
      <alignment horizontal="left" vertical="center"/>
      <protection/>
    </xf>
    <xf numFmtId="0" fontId="0" fillId="0" borderId="0" xfId="0" applyNumberFormat="1" applyBorder="1" applyAlignment="1" applyProtection="1">
      <alignment horizontal="left" vertical="center"/>
      <protection/>
    </xf>
    <xf numFmtId="0" fontId="0" fillId="0" borderId="0" xfId="0" applyNumberFormat="1" applyBorder="1" applyAlignment="1" applyProtection="1">
      <alignment horizontal="right" vertical="center"/>
      <protection/>
    </xf>
    <xf numFmtId="176" fontId="0" fillId="0" borderId="0" xfId="0" applyNumberFormat="1" applyBorder="1" applyAlignment="1" applyProtection="1">
      <alignment horizontal="left" vertical="center"/>
      <protection/>
    </xf>
    <xf numFmtId="1" fontId="0" fillId="0" borderId="0" xfId="0" applyNumberFormat="1" applyBorder="1" applyAlignment="1" applyProtection="1">
      <alignment horizontal="left" vertical="center"/>
      <protection/>
    </xf>
    <xf numFmtId="2" fontId="0" fillId="0" borderId="0" xfId="0" applyNumberFormat="1" applyBorder="1" applyAlignment="1" applyProtection="1">
      <alignment horizontal="right" vertical="center"/>
      <protection/>
    </xf>
    <xf numFmtId="0" fontId="0" fillId="0" borderId="0" xfId="0" applyBorder="1" applyAlignment="1" applyProtection="1">
      <alignment horizontal="right" vertical="center"/>
      <protection/>
    </xf>
    <xf numFmtId="0" fontId="0" fillId="0" borderId="0" xfId="0" applyBorder="1" applyAlignment="1" applyProtection="1">
      <alignment horizontal="left" vertical="center" indent="1"/>
      <protection locked="0"/>
    </xf>
    <xf numFmtId="0" fontId="0" fillId="0" borderId="0" xfId="0" applyBorder="1" applyAlignment="1" applyProtection="1">
      <alignment horizontal="left" vertical="center"/>
      <protection locked="0"/>
    </xf>
    <xf numFmtId="46" fontId="0" fillId="0" borderId="0"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0" fontId="1" fillId="33" borderId="10" xfId="0" applyFont="1" applyFill="1" applyBorder="1" applyAlignment="1" applyProtection="1">
      <alignment/>
      <protection/>
    </xf>
    <xf numFmtId="0" fontId="0" fillId="33" borderId="11" xfId="0" applyFill="1" applyBorder="1" applyAlignment="1" applyProtection="1">
      <alignment/>
      <protection/>
    </xf>
    <xf numFmtId="0" fontId="0" fillId="33" borderId="13" xfId="0" applyFill="1" applyBorder="1" applyAlignment="1" applyProtection="1">
      <alignment/>
      <protection/>
    </xf>
    <xf numFmtId="0" fontId="1" fillId="33" borderId="19"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1" fillId="33" borderId="0" xfId="0" applyFont="1" applyFill="1" applyBorder="1" applyAlignment="1" applyProtection="1">
      <alignment horizontal="center"/>
      <protection/>
    </xf>
    <xf numFmtId="0" fontId="1" fillId="33" borderId="16" xfId="0" applyFont="1" applyFill="1" applyBorder="1" applyAlignment="1" applyProtection="1">
      <alignment horizontal="center"/>
      <protection/>
    </xf>
    <xf numFmtId="15" fontId="0" fillId="33" borderId="14" xfId="0" applyNumberFormat="1" applyFill="1" applyBorder="1" applyAlignment="1">
      <alignment/>
    </xf>
    <xf numFmtId="1" fontId="0" fillId="33" borderId="12" xfId="0" applyNumberFormat="1" applyFill="1" applyBorder="1" applyAlignment="1">
      <alignment/>
    </xf>
    <xf numFmtId="1" fontId="0" fillId="33" borderId="12" xfId="0" applyNumberFormat="1" applyFill="1" applyBorder="1" applyAlignment="1">
      <alignment horizontal="right"/>
    </xf>
    <xf numFmtId="2" fontId="0" fillId="33" borderId="12" xfId="0" applyNumberFormat="1" applyFill="1" applyBorder="1" applyAlignment="1">
      <alignment/>
    </xf>
    <xf numFmtId="1" fontId="0" fillId="33" borderId="15" xfId="0" applyNumberForma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45</xdr:row>
      <xdr:rowOff>38100</xdr:rowOff>
    </xdr:from>
    <xdr:to>
      <xdr:col>13</xdr:col>
      <xdr:colOff>381000</xdr:colOff>
      <xdr:row>74</xdr:row>
      <xdr:rowOff>0</xdr:rowOff>
    </xdr:to>
    <xdr:sp>
      <xdr:nvSpPr>
        <xdr:cNvPr id="1" name="Text Box 1"/>
        <xdr:cNvSpPr txBox="1">
          <a:spLocks noChangeArrowheads="1"/>
        </xdr:cNvSpPr>
      </xdr:nvSpPr>
      <xdr:spPr>
        <a:xfrm>
          <a:off x="28575" y="10325100"/>
          <a:ext cx="9144000" cy="4648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Arial"/>
              <a:ea typeface="Arial"/>
              <a:cs typeface="Arial"/>
            </a:rPr>
            <a:t>Notes: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FYCA race result spreadsheet with RYA YR2 'achieved performance' calculation modified to include 'Club Number' (CN) status boats. PY H/cap should be the agreed Portsmouth Yardstick handicap for each boat. H/cap status is the Portsmouth Yardstick standing of the handicap value for each boat. PY = Primary Yardstick; SY = Secondary Yardstick; RN = Recommended number; CN = Club number; TN = Trial number. PY, SY &amp; RN handicaps are published annually in the  RYA YR2 listing. CN status is for boats about which clubs have significant performance evidence and may be rated as such in the FYCA yacht handicap list. TN status is for boats with no published handicap and insufficient performance evidence to date.
</a:t>
          </a:r>
          <a:r>
            <a:rPr lang="en-US" cap="none" sz="1100" b="0" i="0" u="none" baseline="0">
              <a:solidFill>
                <a:srgbClr val="000000"/>
              </a:solidFill>
              <a:latin typeface="Arial"/>
              <a:ea typeface="Arial"/>
              <a:cs typeface="Arial"/>
            </a:rPr>
            <a:t>Corrected times are rounded to the nearest second to reflect realistic timing accuracy. If two or more boats have identical corrected times, they will have the same placing &amp; the next boat will be two or more places behind.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Performance Assessment:
</a:t>
          </a:r>
          <a:r>
            <a:rPr lang="en-US" cap="none" sz="1100" b="0" i="0" u="none" baseline="0">
              <a:solidFill>
                <a:srgbClr val="000000"/>
              </a:solidFill>
              <a:latin typeface="Arial"/>
              <a:ea typeface="Arial"/>
              <a:cs typeface="Arial"/>
            </a:rPr>
            <a:t>The racing performance of boats, in percentage terms relative to handicap, is a 'skewed' distribution with a broader 'tail' on the poor performance side since it is easier to sail slowly rather than fast. The Standard Corrected Time (SCT) is defined as the corrected time achieved on average by the largest group of boats, i.e. those boats that sailed 'to handicap' or ~0%. This is the 'mode' of the distribution. Individual boat performances can then be calculated by comparison with the SCT.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RYA YR2 procedure allows for the typical 'skewed' distribution and calculates the SCT using only the PY, SY &amp; RN status boats. Since these make up only 1/3 of the Forth yacht fleet, FYCA has modified the YR2 procedure to include CN status yachts, representing a further 1/3 of the fleet. TN boats are excluded because their handicaps are not well enough established. The average of corrected times for the top two thirds of the PY, SY, RN &amp; CN boats in the race gives the Average Corrected Time (ACT). A further +5%, corresponding to the average performance relative to handicap 2/3 down the fleet, is added to define the 'poor performance' limit. The corrected times of all PY, SY, RN &amp; CN boats faster than ACT+5% are then averaged to give the SCT for the race.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this spreadsheet, the SCT is only considered valid if two or more boats contribute towards it, otherwise performance data is not displayed. The elapsed time for each boat is divided by the SCT and normalised relative to 1000 to give its 'achieved performance'. Performances slower than ACT+5% are shown as 'Slow' and should be excluded in calculating a boat's average performance for handicap assessment.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
  <dimension ref="A1:AY46"/>
  <sheetViews>
    <sheetView tabSelected="1" workbookViewId="0" topLeftCell="A1">
      <pane ySplit="5" topLeftCell="BM6" activePane="bottomLeft" state="frozen"/>
      <selection pane="topLeft" activeCell="A1" sqref="A1"/>
      <selection pane="bottomLeft" activeCell="A3" sqref="A3"/>
    </sheetView>
  </sheetViews>
  <sheetFormatPr defaultColWidth="11.57421875" defaultRowHeight="12.75"/>
  <cols>
    <col min="1" max="1" width="25.421875" style="25" customWidth="1"/>
    <col min="2" max="2" width="15.421875" style="25" customWidth="1"/>
    <col min="3" max="3" width="11.8515625" style="25" customWidth="1"/>
    <col min="4" max="5" width="6.8515625" style="25" customWidth="1"/>
    <col min="6" max="7" width="9.421875" style="22" customWidth="1"/>
    <col min="8" max="8" width="5.00390625" style="22" customWidth="1"/>
    <col min="9" max="9" width="9.421875" style="22" customWidth="1"/>
    <col min="10" max="10" width="7.00390625" style="38" customWidth="1"/>
    <col min="11" max="11" width="9.7109375" style="22" customWidth="1"/>
    <col min="12" max="12" width="9.00390625" style="22" customWidth="1"/>
    <col min="13" max="13" width="6.421875" style="22" customWidth="1"/>
    <col min="14" max="14" width="7.00390625" style="22" customWidth="1"/>
    <col min="15" max="16" width="6.00390625" style="22" customWidth="1"/>
    <col min="17" max="17" width="11.421875" style="22" customWidth="1"/>
    <col min="18" max="18" width="12.00390625" style="25" customWidth="1"/>
    <col min="19" max="20" width="11.140625" style="25" customWidth="1"/>
    <col min="21" max="26" width="11.421875" style="25" customWidth="1"/>
    <col min="27" max="27" width="6.7109375" style="20" customWidth="1"/>
    <col min="28" max="30" width="11.421875" style="25" customWidth="1"/>
    <col min="31" max="31" width="11.7109375" style="25" customWidth="1"/>
    <col min="32" max="32" width="5.7109375" style="25" customWidth="1"/>
    <col min="33" max="33" width="15.28125" style="25" customWidth="1"/>
    <col min="34" max="34" width="6.28125" style="25" customWidth="1"/>
    <col min="35" max="38" width="11.421875" style="25" customWidth="1"/>
    <col min="39" max="39" width="5.421875" style="25" customWidth="1"/>
    <col min="40" max="40" width="11.421875" style="25" customWidth="1"/>
    <col min="41" max="41" width="7.28125" style="25" customWidth="1"/>
    <col min="42" max="47" width="11.421875" style="25" customWidth="1"/>
    <col min="48" max="49" width="5.421875" style="25" customWidth="1"/>
    <col min="50" max="16384" width="11.421875" style="25" customWidth="1"/>
  </cols>
  <sheetData>
    <row r="1" spans="1:27" ht="18" customHeight="1" thickBot="1">
      <c r="A1" s="19" t="s">
        <v>34</v>
      </c>
      <c r="B1" s="20"/>
      <c r="C1" s="20"/>
      <c r="D1" s="20"/>
      <c r="E1" s="20"/>
      <c r="F1" s="21"/>
      <c r="J1" s="23"/>
      <c r="Q1" s="24"/>
      <c r="R1" s="20" t="s">
        <v>24</v>
      </c>
      <c r="U1" s="20" t="s">
        <v>26</v>
      </c>
      <c r="V1" s="26" t="s">
        <v>29</v>
      </c>
      <c r="W1" s="21">
        <f>IF(U2&gt;0,AVERAGE(W6:W45),"")</f>
        <v>0.18867283950617283</v>
      </c>
      <c r="X1" s="21" t="s">
        <v>11</v>
      </c>
      <c r="AA1" s="20" t="s">
        <v>6</v>
      </c>
    </row>
    <row r="2" spans="1:28" ht="18" customHeight="1" thickBot="1">
      <c r="A2" s="3" t="s">
        <v>21</v>
      </c>
      <c r="B2" s="4"/>
      <c r="C2" s="5" t="s">
        <v>23</v>
      </c>
      <c r="D2" s="4"/>
      <c r="E2" s="4"/>
      <c r="F2" s="6" t="str">
        <f>IF(MIN(Q6:Q45)&lt;F3,"Finish time earlier than start!","Start time")</f>
        <v>Start time</v>
      </c>
      <c r="G2" s="7"/>
      <c r="H2" s="7"/>
      <c r="I2" s="6" t="s">
        <v>11</v>
      </c>
      <c r="J2" s="6"/>
      <c r="K2" s="7"/>
      <c r="L2" s="7"/>
      <c r="M2" s="7"/>
      <c r="N2" s="18" t="s">
        <v>38</v>
      </c>
      <c r="R2" s="29">
        <v>41.625</v>
      </c>
      <c r="S2" s="20" t="s">
        <v>18</v>
      </c>
      <c r="T2" s="20" t="s">
        <v>21</v>
      </c>
      <c r="U2" s="20">
        <f>ROUND(U4*2/3,0)</f>
        <v>3</v>
      </c>
      <c r="V2" s="26" t="s">
        <v>28</v>
      </c>
      <c r="W2" s="21">
        <f>IF(U2&gt;0,W1*1.05,"")</f>
        <v>0.1981064814814815</v>
      </c>
      <c r="X2" s="21">
        <f>IF(X4&gt;1,AVERAGE(X6:X45),"")</f>
        <v>0.18867283950617283</v>
      </c>
      <c r="AA2" s="20">
        <f>IF(AND(MIN(Q6:Q45)&gt;F3,AA4=AA5,Q4=S4),1,0)</f>
        <v>1</v>
      </c>
      <c r="AB2" s="25" t="s">
        <v>13</v>
      </c>
    </row>
    <row r="3" spans="1:51" ht="18" customHeight="1" thickBot="1">
      <c r="A3" s="40" t="s">
        <v>61</v>
      </c>
      <c r="B3" s="27"/>
      <c r="C3" s="41">
        <v>42874</v>
      </c>
      <c r="D3" s="27"/>
      <c r="E3" s="27"/>
      <c r="F3" s="42">
        <v>0</v>
      </c>
      <c r="G3" s="28"/>
      <c r="H3" s="28"/>
      <c r="I3" s="43">
        <f>IF(AND(AA$2=1,AA$3=1,Q6&lt;1),X2,"")</f>
        <v>0.18867283950617283</v>
      </c>
      <c r="J3" s="30" t="s">
        <v>30</v>
      </c>
      <c r="K3" s="28"/>
      <c r="L3" s="28"/>
      <c r="M3" s="28"/>
      <c r="N3" s="39"/>
      <c r="P3" s="21" t="s">
        <v>35</v>
      </c>
      <c r="Q3" s="21" t="s">
        <v>17</v>
      </c>
      <c r="R3" s="29" t="s">
        <v>3</v>
      </c>
      <c r="S3" s="29" t="s">
        <v>19</v>
      </c>
      <c r="T3" s="20" t="s">
        <v>20</v>
      </c>
      <c r="U3" s="20" t="s">
        <v>25</v>
      </c>
      <c r="W3" s="22"/>
      <c r="X3" s="22"/>
      <c r="AA3" s="20">
        <f>IF(X4&gt;1,1,0)</f>
        <v>1</v>
      </c>
      <c r="AB3" s="25" t="s">
        <v>16</v>
      </c>
      <c r="AE3" s="65" t="s">
        <v>59</v>
      </c>
      <c r="AF3" s="66"/>
      <c r="AG3" s="66"/>
      <c r="AH3" s="66"/>
      <c r="AI3" s="66"/>
      <c r="AJ3" s="66"/>
      <c r="AK3" s="66"/>
      <c r="AL3" s="66"/>
      <c r="AM3" s="66"/>
      <c r="AN3" s="66"/>
      <c r="AO3" s="66"/>
      <c r="AP3" s="66"/>
      <c r="AQ3" s="66"/>
      <c r="AR3" s="66"/>
      <c r="AS3" s="66"/>
      <c r="AT3" s="66"/>
      <c r="AU3" s="66"/>
      <c r="AV3" s="66"/>
      <c r="AW3" s="66"/>
      <c r="AX3" s="66"/>
      <c r="AY3" s="67"/>
    </row>
    <row r="4" spans="1:51" s="33" customFormat="1" ht="18" customHeight="1">
      <c r="A4" s="3" t="s">
        <v>22</v>
      </c>
      <c r="B4" s="5" t="s">
        <v>7</v>
      </c>
      <c r="C4" s="5" t="s">
        <v>8</v>
      </c>
      <c r="D4" s="5" t="s">
        <v>0</v>
      </c>
      <c r="E4" s="5" t="s">
        <v>1</v>
      </c>
      <c r="F4" s="6" t="s">
        <v>9</v>
      </c>
      <c r="G4" s="6" t="s">
        <v>2</v>
      </c>
      <c r="H4" s="6" t="s">
        <v>35</v>
      </c>
      <c r="I4" s="6" t="s">
        <v>3</v>
      </c>
      <c r="J4" s="6" t="s">
        <v>5</v>
      </c>
      <c r="K4" s="6" t="s">
        <v>10</v>
      </c>
      <c r="L4" s="6" t="s">
        <v>36</v>
      </c>
      <c r="M4" s="6" t="s">
        <v>4</v>
      </c>
      <c r="N4" s="9" t="s">
        <v>11</v>
      </c>
      <c r="O4" s="10"/>
      <c r="P4" s="24" t="s">
        <v>37</v>
      </c>
      <c r="Q4" s="31">
        <f>COUNTIF(Q6:Q45,"&lt;1")</f>
        <v>4</v>
      </c>
      <c r="R4" s="31">
        <f>COUNTIF(R6:R45,"&lt;1")</f>
        <v>4</v>
      </c>
      <c r="S4" s="31">
        <f>COUNTIF(S6:S45,"&gt;.5")</f>
        <v>4</v>
      </c>
      <c r="T4" s="31">
        <f>COUNTIF(T6:T45,"&gt;.5")</f>
        <v>4</v>
      </c>
      <c r="U4" s="31">
        <f>COUNTIF(U6:U45,"&lt;1")</f>
        <v>4</v>
      </c>
      <c r="V4" s="32" t="s">
        <v>27</v>
      </c>
      <c r="W4" s="31">
        <f>COUNTIF(W6:W45,"&lt;1")</f>
        <v>3</v>
      </c>
      <c r="X4" s="31">
        <f>COUNTIF(X6:X45,"&lt;1")</f>
        <v>3</v>
      </c>
      <c r="AA4" s="32">
        <f>COUNTIF(Q6:Q45,"&lt;1")</f>
        <v>4</v>
      </c>
      <c r="AB4" s="34" t="s">
        <v>14</v>
      </c>
      <c r="AE4" s="68"/>
      <c r="AF4" s="69" t="s">
        <v>58</v>
      </c>
      <c r="AG4" s="70"/>
      <c r="AH4" s="70"/>
      <c r="AI4" s="70"/>
      <c r="AJ4" s="70"/>
      <c r="AK4" s="70"/>
      <c r="AL4" s="70"/>
      <c r="AM4" s="70"/>
      <c r="AN4" s="70"/>
      <c r="AO4" s="70"/>
      <c r="AP4" s="70"/>
      <c r="AQ4" s="70"/>
      <c r="AR4" s="70"/>
      <c r="AS4" s="70"/>
      <c r="AT4" s="70"/>
      <c r="AU4" s="70"/>
      <c r="AV4" s="70"/>
      <c r="AW4" s="70"/>
      <c r="AX4" s="70"/>
      <c r="AY4" s="71"/>
    </row>
    <row r="5" spans="1:51" ht="18" customHeight="1" thickBot="1">
      <c r="A5" s="11"/>
      <c r="B5" s="8"/>
      <c r="C5" s="8"/>
      <c r="D5" s="17" t="s">
        <v>1</v>
      </c>
      <c r="E5" s="17" t="s">
        <v>33</v>
      </c>
      <c r="F5" s="12" t="s">
        <v>31</v>
      </c>
      <c r="G5" s="12" t="s">
        <v>31</v>
      </c>
      <c r="H5" s="12"/>
      <c r="I5" s="12" t="s">
        <v>31</v>
      </c>
      <c r="J5" s="12"/>
      <c r="K5" s="49" t="s">
        <v>32</v>
      </c>
      <c r="L5" s="12"/>
      <c r="M5" s="12"/>
      <c r="N5" s="13" t="s">
        <v>12</v>
      </c>
      <c r="O5" s="10"/>
      <c r="P5" s="48">
        <f>MAX(P6:P45)</f>
        <v>1</v>
      </c>
      <c r="Q5" s="31"/>
      <c r="R5" s="31"/>
      <c r="S5" s="31"/>
      <c r="T5" s="35"/>
      <c r="U5" s="20"/>
      <c r="W5" s="22"/>
      <c r="X5" s="22"/>
      <c r="AA5" s="20">
        <f>SUM(AA6:AA45)</f>
        <v>4</v>
      </c>
      <c r="AB5" s="25" t="s">
        <v>15</v>
      </c>
      <c r="AE5" s="72" t="s">
        <v>39</v>
      </c>
      <c r="AF5" s="73">
        <f ca="1">ROUND(RAND()*1000,0)</f>
        <v>54</v>
      </c>
      <c r="AG5" s="73" t="s">
        <v>40</v>
      </c>
      <c r="AH5" s="74" t="s">
        <v>41</v>
      </c>
      <c r="AI5" s="75" t="s">
        <v>11</v>
      </c>
      <c r="AJ5" s="73" t="s">
        <v>42</v>
      </c>
      <c r="AK5" s="73" t="s">
        <v>43</v>
      </c>
      <c r="AL5" s="73" t="s">
        <v>44</v>
      </c>
      <c r="AM5" s="73" t="s">
        <v>45</v>
      </c>
      <c r="AN5" s="74" t="s">
        <v>46</v>
      </c>
      <c r="AO5" s="73" t="s">
        <v>47</v>
      </c>
      <c r="AP5" s="73" t="s">
        <v>48</v>
      </c>
      <c r="AQ5" s="73" t="s">
        <v>49</v>
      </c>
      <c r="AR5" s="73" t="s">
        <v>50</v>
      </c>
      <c r="AS5" s="75" t="s">
        <v>51</v>
      </c>
      <c r="AT5" s="74" t="s">
        <v>52</v>
      </c>
      <c r="AU5" s="74" t="s">
        <v>53</v>
      </c>
      <c r="AV5" s="73" t="s">
        <v>54</v>
      </c>
      <c r="AW5" s="73" t="s">
        <v>55</v>
      </c>
      <c r="AX5" s="74" t="s">
        <v>56</v>
      </c>
      <c r="AY5" s="76" t="s">
        <v>57</v>
      </c>
    </row>
    <row r="6" spans="1:51" s="37" customFormat="1" ht="18" customHeight="1">
      <c r="A6" s="61" t="s">
        <v>69</v>
      </c>
      <c r="B6" s="62" t="s">
        <v>62</v>
      </c>
      <c r="C6" s="62"/>
      <c r="D6" s="1">
        <v>839</v>
      </c>
      <c r="E6" s="1" t="s">
        <v>60</v>
      </c>
      <c r="F6" s="63">
        <v>0.15613425925925925</v>
      </c>
      <c r="G6" s="14">
        <f aca="true" t="shared" si="0" ref="G6:G45">IF(Q6&lt;1,Q6-F$3,"")</f>
        <v>0.15613425925925925</v>
      </c>
      <c r="H6" s="64">
        <v>1</v>
      </c>
      <c r="I6" s="14">
        <f aca="true" t="shared" si="1" ref="I6:I45">IF(AND(AA$2=1,Q6&lt;1),R6,"")</f>
        <v>0.18609953703703705</v>
      </c>
      <c r="J6" s="15">
        <f aca="true" t="shared" si="2" ref="J6:J45">IF(AA$2=1,T6,"")</f>
        <v>1</v>
      </c>
      <c r="K6" s="16">
        <f aca="true" t="shared" si="3" ref="K6:K45">IF(AND(AA$2=1,AA$3=1,Q6&lt;1),Y6,"")</f>
        <v>828</v>
      </c>
      <c r="L6" s="47">
        <f aca="true" t="shared" si="4" ref="L6:L45">IF(AND(AA$2=1,AA$3=1,Q6&lt;1),Z6,"")</f>
        <v>-0.014</v>
      </c>
      <c r="M6" s="16">
        <f aca="true" t="shared" si="5" ref="M6:M45">IF(AND(AA$2=1,AA$3=1,R6&gt;W$2,R6&lt;R$2),"Slow","")</f>
      </c>
      <c r="N6" s="14" t="str">
        <f aca="true" t="shared" si="6" ref="N6:N45">IF(AND(AA$2=1,AA$3=1,X6&lt;1),"yes","")</f>
        <v>yes</v>
      </c>
      <c r="O6" s="14"/>
      <c r="P6" s="16">
        <f aca="true" t="shared" si="7" ref="P6:P45">IF(H6="",1,H6)</f>
        <v>1</v>
      </c>
      <c r="Q6" s="14">
        <f aca="true" t="shared" si="8" ref="Q6:Q45">IF(F6=""," ",F6)</f>
        <v>0.15613425925925925</v>
      </c>
      <c r="R6" s="36">
        <f aca="true" t="shared" si="9" ref="R6:R45">IF(AND(Q6&lt;1,D6&gt;1),ROUND(G6/P6*1000/D6*24*3600,0)/(24*3600),R$2)</f>
        <v>0.18609953703703705</v>
      </c>
      <c r="S6" s="16">
        <f aca="true" t="shared" si="10" ref="S6:S45">IF(Q6&lt;1,S5+1,"")</f>
        <v>1</v>
      </c>
      <c r="T6" s="16">
        <f aca="true" t="shared" si="11" ref="T6:T45">IF(R6=R5,T5,S6)</f>
        <v>1</v>
      </c>
      <c r="U6" s="14">
        <f aca="true" t="shared" si="12" ref="U6:U45">IF(OR(E6="TN",R6=R$2),"",R6)</f>
        <v>0.18609953703703705</v>
      </c>
      <c r="V6" s="37">
        <f aca="true" t="shared" si="13" ref="V6:V45">IF(U6="",V5,V5+1)</f>
        <v>1</v>
      </c>
      <c r="W6" s="14">
        <f aca="true" t="shared" si="14" ref="W6:W45">IF(OR(V6&gt;U$2,U6=""),"",U6)</f>
        <v>0.18609953703703705</v>
      </c>
      <c r="X6" s="14">
        <f aca="true" t="shared" si="15" ref="X6:X45">IF(U6&lt;W$2,U6,"")</f>
        <v>0.18609953703703705</v>
      </c>
      <c r="Y6" s="37">
        <f aca="true" t="shared" si="16" ref="Y6:Y45">IF(R6&lt;R$2,ROUND(G6/P6/X$2*1000,0),"")</f>
        <v>828</v>
      </c>
      <c r="Z6" s="47">
        <f aca="true" t="shared" si="17" ref="Z6:Z45">IF(R6&lt;R$2,ROUND((R6-X$2)/X$2,3),"")</f>
        <v>-0.014</v>
      </c>
      <c r="AA6" s="37">
        <f aca="true" t="shared" si="18" ref="AA6:AA45">IF(AND(R6&lt;=R7,R6&lt;R$2),1,0)</f>
        <v>1</v>
      </c>
      <c r="AE6" s="52">
        <f>IF($J6="","",C$3)</f>
        <v>42874</v>
      </c>
      <c r="AF6" s="53">
        <f>IF($J6="","",AF5)</f>
        <v>54</v>
      </c>
      <c r="AG6" s="54" t="str">
        <f>IF($J6="","",A$3)</f>
        <v>Friday White Sail 1</v>
      </c>
      <c r="AH6" s="53" t="str">
        <f>IF($J6="","",AH5)</f>
        <v>Div 1</v>
      </c>
      <c r="AI6" s="53">
        <f>IF($J6="","",I$3*24*3600)</f>
        <v>16301.333333333332</v>
      </c>
      <c r="AJ6" s="55" t="str">
        <f>IF($J6="","",A6)</f>
        <v>TBP</v>
      </c>
      <c r="AK6" s="55" t="str">
        <f>IF($J6="","",B6)</f>
        <v>J 97e</v>
      </c>
      <c r="AL6" s="55">
        <f>IF($J6="","",C6)</f>
        <v>0</v>
      </c>
      <c r="AN6" s="56">
        <f>IF($J6="","",D6)</f>
        <v>839</v>
      </c>
      <c r="AO6" s="53">
        <f>J6</f>
        <v>1</v>
      </c>
      <c r="AP6" s="57">
        <f>IF($J6="","",F6)</f>
        <v>0.15613425925925925</v>
      </c>
      <c r="AQ6" s="58">
        <f>IF($J6="","",P6)</f>
        <v>1</v>
      </c>
      <c r="AR6" s="53">
        <f>IF($J6="","",G6*24*3600)</f>
        <v>13489.999999999998</v>
      </c>
      <c r="AS6" s="59">
        <f>IF($J6="","",I6*24*3600)</f>
        <v>16079</v>
      </c>
      <c r="AT6" s="53">
        <f>IF($J6="","",K6)</f>
        <v>828</v>
      </c>
      <c r="AU6" s="60"/>
      <c r="AV6" s="58">
        <f>IF(AND($J6&lt;&gt;"",N6=""),"N","")</f>
      </c>
      <c r="AW6" s="37">
        <f>IF(AND($J6&lt;&gt;"",L6&gt;0.05),"s","")</f>
      </c>
      <c r="AX6" s="53">
        <f>IF($J6="","",D6)</f>
        <v>839</v>
      </c>
      <c r="AY6" s="53">
        <f>IF($J6="","",K6-D6)</f>
        <v>-11</v>
      </c>
    </row>
    <row r="7" spans="1:51" s="37" customFormat="1" ht="18" customHeight="1">
      <c r="A7" s="61" t="s">
        <v>65</v>
      </c>
      <c r="B7" s="62" t="s">
        <v>66</v>
      </c>
      <c r="C7" s="62"/>
      <c r="D7" s="1">
        <v>857</v>
      </c>
      <c r="E7" s="1" t="s">
        <v>60</v>
      </c>
      <c r="F7" s="63">
        <v>0.15996527777777778</v>
      </c>
      <c r="G7" s="14">
        <f t="shared" si="0"/>
        <v>0.15996527777777778</v>
      </c>
      <c r="H7" s="64">
        <v>1</v>
      </c>
      <c r="I7" s="14">
        <f t="shared" si="1"/>
        <v>0.18665509259259258</v>
      </c>
      <c r="J7" s="15">
        <f t="shared" si="2"/>
        <v>2</v>
      </c>
      <c r="K7" s="16">
        <f t="shared" si="3"/>
        <v>848</v>
      </c>
      <c r="L7" s="47">
        <f t="shared" si="4"/>
        <v>-0.011</v>
      </c>
      <c r="M7" s="16">
        <f t="shared" si="5"/>
      </c>
      <c r="N7" s="14" t="str">
        <f t="shared" si="6"/>
        <v>yes</v>
      </c>
      <c r="O7" s="14"/>
      <c r="P7" s="16">
        <f t="shared" si="7"/>
        <v>1</v>
      </c>
      <c r="Q7" s="14">
        <f t="shared" si="8"/>
        <v>0.15996527777777778</v>
      </c>
      <c r="R7" s="36">
        <f t="shared" si="9"/>
        <v>0.18665509259259258</v>
      </c>
      <c r="S7" s="16">
        <f t="shared" si="10"/>
        <v>2</v>
      </c>
      <c r="T7" s="16">
        <f t="shared" si="11"/>
        <v>2</v>
      </c>
      <c r="U7" s="14">
        <f t="shared" si="12"/>
        <v>0.18665509259259258</v>
      </c>
      <c r="V7" s="37">
        <f t="shared" si="13"/>
        <v>2</v>
      </c>
      <c r="W7" s="14">
        <f t="shared" si="14"/>
        <v>0.18665509259259258</v>
      </c>
      <c r="X7" s="14">
        <f t="shared" si="15"/>
        <v>0.18665509259259258</v>
      </c>
      <c r="Y7" s="37">
        <f t="shared" si="16"/>
        <v>848</v>
      </c>
      <c r="Z7" s="47">
        <f t="shared" si="17"/>
        <v>-0.011</v>
      </c>
      <c r="AA7" s="37">
        <f t="shared" si="18"/>
        <v>1</v>
      </c>
      <c r="AE7" s="52">
        <f aca="true" t="shared" si="19" ref="AE7:AE45">IF($J7="","",C$3)</f>
        <v>42874</v>
      </c>
      <c r="AF7" s="53">
        <f aca="true" t="shared" si="20" ref="AF7:AF45">IF($J7="","",AF6)</f>
        <v>54</v>
      </c>
      <c r="AG7" s="54" t="str">
        <f aca="true" t="shared" si="21" ref="AG7:AG45">IF($J7="","",A$3)</f>
        <v>Friday White Sail 1</v>
      </c>
      <c r="AH7" s="53" t="str">
        <f aca="true" t="shared" si="22" ref="AH7:AH45">IF($J7="","",AH6)</f>
        <v>Div 1</v>
      </c>
      <c r="AI7" s="53">
        <f aca="true" t="shared" si="23" ref="AI7:AI45">IF($J7="","",I$3*24*3600)</f>
        <v>16301.333333333332</v>
      </c>
      <c r="AJ7" s="55" t="str">
        <f aca="true" t="shared" si="24" ref="AJ7:AJ45">IF($J7="","",A7)</f>
        <v>HENCEFORTH</v>
      </c>
      <c r="AK7" s="55" t="str">
        <f aca="true" t="shared" si="25" ref="AK7:AK45">IF($J7="","",B7)</f>
        <v>CORBY 29</v>
      </c>
      <c r="AL7" s="55">
        <f aca="true" t="shared" si="26" ref="AL7:AL45">IF($J7="","",C7)</f>
        <v>0</v>
      </c>
      <c r="AN7" s="56">
        <f aca="true" t="shared" si="27" ref="AN7:AN45">IF($J7="","",D7)</f>
        <v>857</v>
      </c>
      <c r="AO7" s="53">
        <f aca="true" t="shared" si="28" ref="AO7:AO45">J7</f>
        <v>2</v>
      </c>
      <c r="AP7" s="57">
        <f aca="true" t="shared" si="29" ref="AP7:AP45">IF($J7="","",F7)</f>
        <v>0.15996527777777778</v>
      </c>
      <c r="AQ7" s="58">
        <f aca="true" t="shared" si="30" ref="AQ7:AQ45">IF($J7="","",P7)</f>
        <v>1</v>
      </c>
      <c r="AR7" s="53">
        <f aca="true" t="shared" si="31" ref="AR7:AR45">IF($J7="","",G7*24*3600)</f>
        <v>13820.999999999998</v>
      </c>
      <c r="AS7" s="59">
        <f aca="true" t="shared" si="32" ref="AS7:AS45">IF($J7="","",I7*24*3600)</f>
        <v>16126.999999999998</v>
      </c>
      <c r="AT7" s="53">
        <f aca="true" t="shared" si="33" ref="AT7:AT45">IF($J7="","",K7)</f>
        <v>848</v>
      </c>
      <c r="AU7" s="60"/>
      <c r="AV7" s="58">
        <f aca="true" t="shared" si="34" ref="AV7:AV45">IF(AND($J7&lt;&gt;"",N7=""),"N","")</f>
      </c>
      <c r="AW7" s="37">
        <f aca="true" t="shared" si="35" ref="AW7:AW45">IF(AND($J7&lt;&gt;"",L7&gt;0.05),"s","")</f>
      </c>
      <c r="AX7" s="53">
        <f aca="true" t="shared" si="36" ref="AX7:AX45">IF($J7="","",D7)</f>
        <v>857</v>
      </c>
      <c r="AY7" s="53">
        <f aca="true" t="shared" si="37" ref="AY7:AY45">IF($J7="","",K7-D7)</f>
        <v>-9</v>
      </c>
    </row>
    <row r="8" spans="1:51" s="37" customFormat="1" ht="18" customHeight="1">
      <c r="A8" s="61" t="s">
        <v>63</v>
      </c>
      <c r="B8" s="62" t="s">
        <v>64</v>
      </c>
      <c r="C8" s="62"/>
      <c r="D8" s="1">
        <v>956</v>
      </c>
      <c r="E8" s="1" t="s">
        <v>60</v>
      </c>
      <c r="F8" s="63">
        <v>0.18475694444444446</v>
      </c>
      <c r="G8" s="14">
        <f t="shared" si="0"/>
        <v>0.18475694444444446</v>
      </c>
      <c r="H8" s="64">
        <v>1</v>
      </c>
      <c r="I8" s="14">
        <f t="shared" si="1"/>
        <v>0.1932638888888889</v>
      </c>
      <c r="J8" s="15">
        <f t="shared" si="2"/>
        <v>3</v>
      </c>
      <c r="K8" s="16">
        <f t="shared" si="3"/>
        <v>979</v>
      </c>
      <c r="L8" s="47">
        <f t="shared" si="4"/>
        <v>0.024</v>
      </c>
      <c r="M8" s="16">
        <f t="shared" si="5"/>
      </c>
      <c r="N8" s="14" t="str">
        <f t="shared" si="6"/>
        <v>yes</v>
      </c>
      <c r="O8" s="14"/>
      <c r="P8" s="16">
        <f t="shared" si="7"/>
        <v>1</v>
      </c>
      <c r="Q8" s="14">
        <f t="shared" si="8"/>
        <v>0.18475694444444446</v>
      </c>
      <c r="R8" s="36">
        <f t="shared" si="9"/>
        <v>0.1932638888888889</v>
      </c>
      <c r="S8" s="16">
        <f t="shared" si="10"/>
        <v>3</v>
      </c>
      <c r="T8" s="16">
        <f t="shared" si="11"/>
        <v>3</v>
      </c>
      <c r="U8" s="14">
        <f t="shared" si="12"/>
        <v>0.1932638888888889</v>
      </c>
      <c r="V8" s="37">
        <f t="shared" si="13"/>
        <v>3</v>
      </c>
      <c r="W8" s="14">
        <f t="shared" si="14"/>
        <v>0.1932638888888889</v>
      </c>
      <c r="X8" s="14">
        <f t="shared" si="15"/>
        <v>0.1932638888888889</v>
      </c>
      <c r="Y8" s="37">
        <f t="shared" si="16"/>
        <v>979</v>
      </c>
      <c r="Z8" s="47">
        <f t="shared" si="17"/>
        <v>0.024</v>
      </c>
      <c r="AA8" s="37">
        <f t="shared" si="18"/>
        <v>1</v>
      </c>
      <c r="AE8" s="52">
        <f t="shared" si="19"/>
        <v>42874</v>
      </c>
      <c r="AF8" s="53">
        <f t="shared" si="20"/>
        <v>54</v>
      </c>
      <c r="AG8" s="54" t="str">
        <f t="shared" si="21"/>
        <v>Friday White Sail 1</v>
      </c>
      <c r="AH8" s="53" t="str">
        <f t="shared" si="22"/>
        <v>Div 1</v>
      </c>
      <c r="AI8" s="53">
        <f t="shared" si="23"/>
        <v>16301.333333333332</v>
      </c>
      <c r="AJ8" s="55" t="str">
        <f t="shared" si="24"/>
        <v>SMIJ</v>
      </c>
      <c r="AK8" s="55" t="str">
        <f t="shared" si="25"/>
        <v>HUSTLER SJ30</v>
      </c>
      <c r="AL8" s="55">
        <f t="shared" si="26"/>
        <v>0</v>
      </c>
      <c r="AN8" s="56">
        <f t="shared" si="27"/>
        <v>956</v>
      </c>
      <c r="AO8" s="53">
        <f t="shared" si="28"/>
        <v>3</v>
      </c>
      <c r="AP8" s="57">
        <f t="shared" si="29"/>
        <v>0.18475694444444446</v>
      </c>
      <c r="AQ8" s="58">
        <f t="shared" si="30"/>
        <v>1</v>
      </c>
      <c r="AR8" s="53">
        <f t="shared" si="31"/>
        <v>15963.000000000002</v>
      </c>
      <c r="AS8" s="59">
        <f t="shared" si="32"/>
        <v>16698</v>
      </c>
      <c r="AT8" s="53">
        <f t="shared" si="33"/>
        <v>979</v>
      </c>
      <c r="AU8" s="60"/>
      <c r="AV8" s="58">
        <f t="shared" si="34"/>
      </c>
      <c r="AW8" s="37">
        <f t="shared" si="35"/>
      </c>
      <c r="AX8" s="53">
        <f t="shared" si="36"/>
        <v>956</v>
      </c>
      <c r="AY8" s="53">
        <f t="shared" si="37"/>
        <v>23</v>
      </c>
    </row>
    <row r="9" spans="1:51" s="37" customFormat="1" ht="18" customHeight="1">
      <c r="A9" s="61" t="s">
        <v>67</v>
      </c>
      <c r="B9" s="62" t="s">
        <v>68</v>
      </c>
      <c r="C9" s="62"/>
      <c r="D9" s="1">
        <v>916</v>
      </c>
      <c r="E9" s="1" t="s">
        <v>60</v>
      </c>
      <c r="F9" s="63">
        <v>0.18368055555555554</v>
      </c>
      <c r="G9" s="14">
        <f t="shared" si="0"/>
        <v>0.18368055555555554</v>
      </c>
      <c r="H9" s="64">
        <v>1</v>
      </c>
      <c r="I9" s="14">
        <f t="shared" si="1"/>
        <v>0.20052083333333334</v>
      </c>
      <c r="J9" s="15">
        <f t="shared" si="2"/>
        <v>4</v>
      </c>
      <c r="K9" s="16">
        <f t="shared" si="3"/>
        <v>974</v>
      </c>
      <c r="L9" s="47">
        <f t="shared" si="4"/>
        <v>0.063</v>
      </c>
      <c r="M9" s="16" t="str">
        <f t="shared" si="5"/>
        <v>Slow</v>
      </c>
      <c r="N9" s="14">
        <f t="shared" si="6"/>
      </c>
      <c r="O9" s="14"/>
      <c r="P9" s="16">
        <f t="shared" si="7"/>
        <v>1</v>
      </c>
      <c r="Q9" s="14">
        <f t="shared" si="8"/>
        <v>0.18368055555555554</v>
      </c>
      <c r="R9" s="36">
        <f t="shared" si="9"/>
        <v>0.20052083333333334</v>
      </c>
      <c r="S9" s="16">
        <f t="shared" si="10"/>
        <v>4</v>
      </c>
      <c r="T9" s="16">
        <f t="shared" si="11"/>
        <v>4</v>
      </c>
      <c r="U9" s="14">
        <f t="shared" si="12"/>
        <v>0.20052083333333334</v>
      </c>
      <c r="V9" s="37">
        <f t="shared" si="13"/>
        <v>4</v>
      </c>
      <c r="W9" s="14">
        <f t="shared" si="14"/>
      </c>
      <c r="X9" s="14">
        <f t="shared" si="15"/>
      </c>
      <c r="Y9" s="37">
        <f t="shared" si="16"/>
        <v>974</v>
      </c>
      <c r="Z9" s="47">
        <f t="shared" si="17"/>
        <v>0.063</v>
      </c>
      <c r="AA9" s="37">
        <f t="shared" si="18"/>
        <v>1</v>
      </c>
      <c r="AE9" s="52">
        <f t="shared" si="19"/>
        <v>42874</v>
      </c>
      <c r="AF9" s="53">
        <f t="shared" si="20"/>
        <v>54</v>
      </c>
      <c r="AG9" s="54" t="str">
        <f t="shared" si="21"/>
        <v>Friday White Sail 1</v>
      </c>
      <c r="AH9" s="53" t="str">
        <f t="shared" si="22"/>
        <v>Div 1</v>
      </c>
      <c r="AI9" s="53">
        <f t="shared" si="23"/>
        <v>16301.333333333332</v>
      </c>
      <c r="AJ9" s="55" t="str">
        <f t="shared" si="24"/>
        <v>EUROBO</v>
      </c>
      <c r="AK9" s="55" t="str">
        <f t="shared" si="25"/>
        <v>RONAUT RO330</v>
      </c>
      <c r="AL9" s="55">
        <f t="shared" si="26"/>
        <v>0</v>
      </c>
      <c r="AN9" s="56">
        <f t="shared" si="27"/>
        <v>916</v>
      </c>
      <c r="AO9" s="53">
        <f t="shared" si="28"/>
        <v>4</v>
      </c>
      <c r="AP9" s="57">
        <f t="shared" si="29"/>
        <v>0.18368055555555554</v>
      </c>
      <c r="AQ9" s="58">
        <f t="shared" si="30"/>
        <v>1</v>
      </c>
      <c r="AR9" s="53">
        <f t="shared" si="31"/>
        <v>15870</v>
      </c>
      <c r="AS9" s="59">
        <f t="shared" si="32"/>
        <v>17325</v>
      </c>
      <c r="AT9" s="53">
        <f t="shared" si="33"/>
        <v>974</v>
      </c>
      <c r="AU9" s="60"/>
      <c r="AV9" s="58" t="str">
        <f t="shared" si="34"/>
        <v>N</v>
      </c>
      <c r="AW9" s="37" t="str">
        <f t="shared" si="35"/>
        <v>s</v>
      </c>
      <c r="AX9" s="53">
        <f t="shared" si="36"/>
        <v>916</v>
      </c>
      <c r="AY9" s="53">
        <f t="shared" si="37"/>
        <v>58</v>
      </c>
    </row>
    <row r="10" spans="1:51" s="37" customFormat="1" ht="18" customHeight="1">
      <c r="A10" s="61"/>
      <c r="B10" s="62"/>
      <c r="C10" s="62"/>
      <c r="D10" s="1"/>
      <c r="E10" s="1"/>
      <c r="F10" s="63"/>
      <c r="G10" s="14">
        <f t="shared" si="0"/>
      </c>
      <c r="H10" s="64"/>
      <c r="I10" s="14">
        <f t="shared" si="1"/>
      </c>
      <c r="J10" s="15">
        <f t="shared" si="2"/>
      </c>
      <c r="K10" s="16">
        <f t="shared" si="3"/>
      </c>
      <c r="L10" s="47">
        <f t="shared" si="4"/>
      </c>
      <c r="M10" s="16">
        <f t="shared" si="5"/>
      </c>
      <c r="N10" s="14">
        <f t="shared" si="6"/>
      </c>
      <c r="O10" s="14"/>
      <c r="P10" s="16">
        <f t="shared" si="7"/>
        <v>1</v>
      </c>
      <c r="Q10" s="14" t="str">
        <f t="shared" si="8"/>
        <v> </v>
      </c>
      <c r="R10" s="36">
        <f t="shared" si="9"/>
        <v>41.625</v>
      </c>
      <c r="S10" s="16">
        <f t="shared" si="10"/>
      </c>
      <c r="T10" s="16">
        <f t="shared" si="11"/>
      </c>
      <c r="U10" s="14">
        <f t="shared" si="12"/>
      </c>
      <c r="V10" s="37">
        <f t="shared" si="13"/>
        <v>4</v>
      </c>
      <c r="W10" s="14">
        <f t="shared" si="14"/>
      </c>
      <c r="X10" s="14">
        <f t="shared" si="15"/>
      </c>
      <c r="Y10" s="37">
        <f t="shared" si="16"/>
      </c>
      <c r="Z10" s="47">
        <f t="shared" si="17"/>
      </c>
      <c r="AA10" s="37">
        <f t="shared" si="18"/>
        <v>0</v>
      </c>
      <c r="AE10" s="52">
        <f t="shared" si="19"/>
      </c>
      <c r="AF10" s="53">
        <f t="shared" si="20"/>
      </c>
      <c r="AG10" s="54">
        <f t="shared" si="21"/>
      </c>
      <c r="AH10" s="53">
        <f t="shared" si="22"/>
      </c>
      <c r="AI10" s="53">
        <f t="shared" si="23"/>
      </c>
      <c r="AJ10" s="55">
        <f t="shared" si="24"/>
      </c>
      <c r="AK10" s="55">
        <f t="shared" si="25"/>
      </c>
      <c r="AL10" s="55">
        <f t="shared" si="26"/>
      </c>
      <c r="AN10" s="56">
        <f t="shared" si="27"/>
      </c>
      <c r="AO10" s="53">
        <f t="shared" si="28"/>
      </c>
      <c r="AP10" s="57">
        <f t="shared" si="29"/>
      </c>
      <c r="AQ10" s="58">
        <f t="shared" si="30"/>
      </c>
      <c r="AR10" s="53">
        <f t="shared" si="31"/>
      </c>
      <c r="AS10" s="59">
        <f t="shared" si="32"/>
      </c>
      <c r="AT10" s="53">
        <f t="shared" si="33"/>
      </c>
      <c r="AU10" s="60"/>
      <c r="AV10" s="58">
        <f t="shared" si="34"/>
      </c>
      <c r="AW10" s="37">
        <f t="shared" si="35"/>
      </c>
      <c r="AX10" s="53">
        <f t="shared" si="36"/>
      </c>
      <c r="AY10" s="53">
        <f t="shared" si="37"/>
      </c>
    </row>
    <row r="11" spans="1:51" s="37" customFormat="1" ht="18" customHeight="1">
      <c r="A11" s="61"/>
      <c r="B11" s="62"/>
      <c r="C11" s="62"/>
      <c r="D11" s="1"/>
      <c r="E11" s="1"/>
      <c r="F11" s="63"/>
      <c r="G11" s="14">
        <f t="shared" si="0"/>
      </c>
      <c r="H11" s="64"/>
      <c r="I11" s="14">
        <f t="shared" si="1"/>
      </c>
      <c r="J11" s="15">
        <f t="shared" si="2"/>
      </c>
      <c r="K11" s="16">
        <f t="shared" si="3"/>
      </c>
      <c r="L11" s="47">
        <f t="shared" si="4"/>
      </c>
      <c r="M11" s="16">
        <f t="shared" si="5"/>
      </c>
      <c r="N11" s="14">
        <f t="shared" si="6"/>
      </c>
      <c r="O11" s="14"/>
      <c r="P11" s="16">
        <f t="shared" si="7"/>
        <v>1</v>
      </c>
      <c r="Q11" s="14" t="str">
        <f t="shared" si="8"/>
        <v> </v>
      </c>
      <c r="R11" s="36">
        <f t="shared" si="9"/>
        <v>41.625</v>
      </c>
      <c r="S11" s="16">
        <f t="shared" si="10"/>
      </c>
      <c r="T11" s="16">
        <f t="shared" si="11"/>
      </c>
      <c r="U11" s="14">
        <f t="shared" si="12"/>
      </c>
      <c r="V11" s="37">
        <f t="shared" si="13"/>
        <v>4</v>
      </c>
      <c r="W11" s="14">
        <f t="shared" si="14"/>
      </c>
      <c r="X11" s="14">
        <f t="shared" si="15"/>
      </c>
      <c r="Y11" s="37">
        <f t="shared" si="16"/>
      </c>
      <c r="Z11" s="47">
        <f t="shared" si="17"/>
      </c>
      <c r="AA11" s="37">
        <f t="shared" si="18"/>
        <v>0</v>
      </c>
      <c r="AE11" s="52">
        <f t="shared" si="19"/>
      </c>
      <c r="AF11" s="53">
        <f t="shared" si="20"/>
      </c>
      <c r="AG11" s="54">
        <f t="shared" si="21"/>
      </c>
      <c r="AH11" s="53">
        <f t="shared" si="22"/>
      </c>
      <c r="AI11" s="53">
        <f t="shared" si="23"/>
      </c>
      <c r="AJ11" s="55">
        <f t="shared" si="24"/>
      </c>
      <c r="AK11" s="55">
        <f t="shared" si="25"/>
      </c>
      <c r="AL11" s="55">
        <f t="shared" si="26"/>
      </c>
      <c r="AN11" s="56">
        <f t="shared" si="27"/>
      </c>
      <c r="AO11" s="53">
        <f t="shared" si="28"/>
      </c>
      <c r="AP11" s="57">
        <f t="shared" si="29"/>
      </c>
      <c r="AQ11" s="58">
        <f t="shared" si="30"/>
      </c>
      <c r="AR11" s="53">
        <f t="shared" si="31"/>
      </c>
      <c r="AS11" s="59">
        <f t="shared" si="32"/>
      </c>
      <c r="AT11" s="53">
        <f t="shared" si="33"/>
      </c>
      <c r="AU11" s="60"/>
      <c r="AV11" s="58">
        <f t="shared" si="34"/>
      </c>
      <c r="AW11" s="37">
        <f t="shared" si="35"/>
      </c>
      <c r="AX11" s="53">
        <f t="shared" si="36"/>
      </c>
      <c r="AY11" s="53">
        <f t="shared" si="37"/>
      </c>
    </row>
    <row r="12" spans="1:51" s="37" customFormat="1" ht="18" customHeight="1">
      <c r="A12" s="61"/>
      <c r="B12" s="62"/>
      <c r="C12" s="62"/>
      <c r="D12" s="1"/>
      <c r="E12" s="1"/>
      <c r="F12" s="63"/>
      <c r="G12" s="14">
        <f t="shared" si="0"/>
      </c>
      <c r="H12" s="64"/>
      <c r="I12" s="14">
        <f t="shared" si="1"/>
      </c>
      <c r="J12" s="15">
        <f t="shared" si="2"/>
      </c>
      <c r="K12" s="16">
        <f t="shared" si="3"/>
      </c>
      <c r="L12" s="47">
        <f t="shared" si="4"/>
      </c>
      <c r="M12" s="16">
        <f t="shared" si="5"/>
      </c>
      <c r="N12" s="14">
        <f t="shared" si="6"/>
      </c>
      <c r="O12" s="14"/>
      <c r="P12" s="16">
        <f t="shared" si="7"/>
        <v>1</v>
      </c>
      <c r="Q12" s="14" t="str">
        <f t="shared" si="8"/>
        <v> </v>
      </c>
      <c r="R12" s="36">
        <f t="shared" si="9"/>
        <v>41.625</v>
      </c>
      <c r="S12" s="16">
        <f t="shared" si="10"/>
      </c>
      <c r="T12" s="16">
        <f t="shared" si="11"/>
      </c>
      <c r="U12" s="14">
        <f t="shared" si="12"/>
      </c>
      <c r="V12" s="37">
        <f t="shared" si="13"/>
        <v>4</v>
      </c>
      <c r="W12" s="14">
        <f t="shared" si="14"/>
      </c>
      <c r="X12" s="14">
        <f t="shared" si="15"/>
      </c>
      <c r="Y12" s="37">
        <f t="shared" si="16"/>
      </c>
      <c r="Z12" s="47">
        <f t="shared" si="17"/>
      </c>
      <c r="AA12" s="37">
        <f t="shared" si="18"/>
        <v>0</v>
      </c>
      <c r="AE12" s="52">
        <f t="shared" si="19"/>
      </c>
      <c r="AF12" s="53">
        <f t="shared" si="20"/>
      </c>
      <c r="AG12" s="54">
        <f t="shared" si="21"/>
      </c>
      <c r="AH12" s="53">
        <f t="shared" si="22"/>
      </c>
      <c r="AI12" s="53">
        <f t="shared" si="23"/>
      </c>
      <c r="AJ12" s="55">
        <f t="shared" si="24"/>
      </c>
      <c r="AK12" s="55">
        <f t="shared" si="25"/>
      </c>
      <c r="AL12" s="55">
        <f t="shared" si="26"/>
      </c>
      <c r="AN12" s="56">
        <f t="shared" si="27"/>
      </c>
      <c r="AO12" s="53">
        <f t="shared" si="28"/>
      </c>
      <c r="AP12" s="57">
        <f t="shared" si="29"/>
      </c>
      <c r="AQ12" s="58">
        <f t="shared" si="30"/>
      </c>
      <c r="AR12" s="53">
        <f t="shared" si="31"/>
      </c>
      <c r="AS12" s="59">
        <f t="shared" si="32"/>
      </c>
      <c r="AT12" s="53">
        <f t="shared" si="33"/>
      </c>
      <c r="AU12" s="60"/>
      <c r="AV12" s="58">
        <f t="shared" si="34"/>
      </c>
      <c r="AW12" s="37">
        <f t="shared" si="35"/>
      </c>
      <c r="AX12" s="53">
        <f t="shared" si="36"/>
      </c>
      <c r="AY12" s="53">
        <f t="shared" si="37"/>
      </c>
    </row>
    <row r="13" spans="1:51" s="37" customFormat="1" ht="18" customHeight="1">
      <c r="A13" s="61"/>
      <c r="B13" s="62"/>
      <c r="C13" s="62"/>
      <c r="D13" s="1"/>
      <c r="E13" s="1"/>
      <c r="F13" s="63"/>
      <c r="G13" s="14">
        <f t="shared" si="0"/>
      </c>
      <c r="H13" s="64"/>
      <c r="I13" s="14">
        <f t="shared" si="1"/>
      </c>
      <c r="J13" s="15">
        <f t="shared" si="2"/>
      </c>
      <c r="K13" s="16">
        <f t="shared" si="3"/>
      </c>
      <c r="L13" s="47">
        <f t="shared" si="4"/>
      </c>
      <c r="M13" s="16">
        <f t="shared" si="5"/>
      </c>
      <c r="N13" s="14">
        <f t="shared" si="6"/>
      </c>
      <c r="O13" s="14"/>
      <c r="P13" s="16">
        <f t="shared" si="7"/>
        <v>1</v>
      </c>
      <c r="Q13" s="14" t="str">
        <f t="shared" si="8"/>
        <v> </v>
      </c>
      <c r="R13" s="36">
        <f t="shared" si="9"/>
        <v>41.625</v>
      </c>
      <c r="S13" s="16">
        <f t="shared" si="10"/>
      </c>
      <c r="T13" s="16">
        <f t="shared" si="11"/>
      </c>
      <c r="U13" s="14">
        <f t="shared" si="12"/>
      </c>
      <c r="V13" s="37">
        <f t="shared" si="13"/>
        <v>4</v>
      </c>
      <c r="W13" s="14">
        <f t="shared" si="14"/>
      </c>
      <c r="X13" s="14">
        <f t="shared" si="15"/>
      </c>
      <c r="Y13" s="37">
        <f t="shared" si="16"/>
      </c>
      <c r="Z13" s="47">
        <f t="shared" si="17"/>
      </c>
      <c r="AA13" s="37">
        <f t="shared" si="18"/>
        <v>0</v>
      </c>
      <c r="AE13" s="52">
        <f t="shared" si="19"/>
      </c>
      <c r="AF13" s="53">
        <f t="shared" si="20"/>
      </c>
      <c r="AG13" s="54">
        <f t="shared" si="21"/>
      </c>
      <c r="AH13" s="53">
        <f t="shared" si="22"/>
      </c>
      <c r="AI13" s="53">
        <f t="shared" si="23"/>
      </c>
      <c r="AJ13" s="55">
        <f t="shared" si="24"/>
      </c>
      <c r="AK13" s="55">
        <f t="shared" si="25"/>
      </c>
      <c r="AL13" s="55">
        <f t="shared" si="26"/>
      </c>
      <c r="AN13" s="56">
        <f t="shared" si="27"/>
      </c>
      <c r="AO13" s="53">
        <f t="shared" si="28"/>
      </c>
      <c r="AP13" s="57">
        <f t="shared" si="29"/>
      </c>
      <c r="AQ13" s="58">
        <f t="shared" si="30"/>
      </c>
      <c r="AR13" s="53">
        <f t="shared" si="31"/>
      </c>
      <c r="AS13" s="59">
        <f t="shared" si="32"/>
      </c>
      <c r="AT13" s="53">
        <f t="shared" si="33"/>
      </c>
      <c r="AU13" s="60"/>
      <c r="AV13" s="58">
        <f t="shared" si="34"/>
      </c>
      <c r="AW13" s="37">
        <f t="shared" si="35"/>
      </c>
      <c r="AX13" s="53">
        <f t="shared" si="36"/>
      </c>
      <c r="AY13" s="53">
        <f t="shared" si="37"/>
      </c>
    </row>
    <row r="14" spans="1:51" s="37" customFormat="1" ht="18" customHeight="1">
      <c r="A14" s="61"/>
      <c r="B14" s="62"/>
      <c r="C14" s="62"/>
      <c r="D14" s="1"/>
      <c r="E14" s="1"/>
      <c r="F14" s="63"/>
      <c r="G14" s="14">
        <f t="shared" si="0"/>
      </c>
      <c r="H14" s="64"/>
      <c r="I14" s="14">
        <f t="shared" si="1"/>
      </c>
      <c r="J14" s="15">
        <f t="shared" si="2"/>
      </c>
      <c r="K14" s="16">
        <f t="shared" si="3"/>
      </c>
      <c r="L14" s="47">
        <f t="shared" si="4"/>
      </c>
      <c r="M14" s="16">
        <f t="shared" si="5"/>
      </c>
      <c r="N14" s="14">
        <f t="shared" si="6"/>
      </c>
      <c r="O14" s="14"/>
      <c r="P14" s="16">
        <f t="shared" si="7"/>
        <v>1</v>
      </c>
      <c r="Q14" s="14" t="str">
        <f t="shared" si="8"/>
        <v> </v>
      </c>
      <c r="R14" s="36">
        <f t="shared" si="9"/>
        <v>41.625</v>
      </c>
      <c r="S14" s="16">
        <f t="shared" si="10"/>
      </c>
      <c r="T14" s="16">
        <f t="shared" si="11"/>
      </c>
      <c r="U14" s="14">
        <f t="shared" si="12"/>
      </c>
      <c r="V14" s="37">
        <f t="shared" si="13"/>
        <v>4</v>
      </c>
      <c r="W14" s="14">
        <f t="shared" si="14"/>
      </c>
      <c r="X14" s="14">
        <f t="shared" si="15"/>
      </c>
      <c r="Y14" s="37">
        <f t="shared" si="16"/>
      </c>
      <c r="Z14" s="47">
        <f t="shared" si="17"/>
      </c>
      <c r="AA14" s="37">
        <f t="shared" si="18"/>
        <v>0</v>
      </c>
      <c r="AE14" s="52">
        <f t="shared" si="19"/>
      </c>
      <c r="AF14" s="53">
        <f t="shared" si="20"/>
      </c>
      <c r="AG14" s="54">
        <f t="shared" si="21"/>
      </c>
      <c r="AH14" s="53">
        <f t="shared" si="22"/>
      </c>
      <c r="AI14" s="53">
        <f t="shared" si="23"/>
      </c>
      <c r="AJ14" s="55">
        <f t="shared" si="24"/>
      </c>
      <c r="AK14" s="55">
        <f t="shared" si="25"/>
      </c>
      <c r="AL14" s="55">
        <f t="shared" si="26"/>
      </c>
      <c r="AN14" s="56">
        <f t="shared" si="27"/>
      </c>
      <c r="AO14" s="53">
        <f t="shared" si="28"/>
      </c>
      <c r="AP14" s="57">
        <f t="shared" si="29"/>
      </c>
      <c r="AQ14" s="58">
        <f t="shared" si="30"/>
      </c>
      <c r="AR14" s="53">
        <f t="shared" si="31"/>
      </c>
      <c r="AS14" s="59">
        <f t="shared" si="32"/>
      </c>
      <c r="AT14" s="53">
        <f t="shared" si="33"/>
      </c>
      <c r="AU14" s="60"/>
      <c r="AV14" s="58">
        <f t="shared" si="34"/>
      </c>
      <c r="AW14" s="37">
        <f t="shared" si="35"/>
      </c>
      <c r="AX14" s="53">
        <f t="shared" si="36"/>
      </c>
      <c r="AY14" s="53">
        <f t="shared" si="37"/>
      </c>
    </row>
    <row r="15" spans="1:51" s="37" customFormat="1" ht="18" customHeight="1">
      <c r="A15" s="61"/>
      <c r="B15" s="62"/>
      <c r="C15" s="62"/>
      <c r="D15" s="1"/>
      <c r="E15" s="1"/>
      <c r="F15" s="63"/>
      <c r="G15" s="14">
        <f t="shared" si="0"/>
      </c>
      <c r="H15" s="64"/>
      <c r="I15" s="14">
        <f t="shared" si="1"/>
      </c>
      <c r="J15" s="15">
        <f t="shared" si="2"/>
      </c>
      <c r="K15" s="16">
        <f t="shared" si="3"/>
      </c>
      <c r="L15" s="47">
        <f t="shared" si="4"/>
      </c>
      <c r="M15" s="16">
        <f t="shared" si="5"/>
      </c>
      <c r="N15" s="14">
        <f t="shared" si="6"/>
      </c>
      <c r="O15" s="14"/>
      <c r="P15" s="16">
        <f t="shared" si="7"/>
        <v>1</v>
      </c>
      <c r="Q15" s="14" t="str">
        <f t="shared" si="8"/>
        <v> </v>
      </c>
      <c r="R15" s="36">
        <f t="shared" si="9"/>
        <v>41.625</v>
      </c>
      <c r="S15" s="16">
        <f t="shared" si="10"/>
      </c>
      <c r="T15" s="16">
        <f t="shared" si="11"/>
      </c>
      <c r="U15" s="14">
        <f t="shared" si="12"/>
      </c>
      <c r="V15" s="37">
        <f t="shared" si="13"/>
        <v>4</v>
      </c>
      <c r="W15" s="14">
        <f t="shared" si="14"/>
      </c>
      <c r="X15" s="14">
        <f t="shared" si="15"/>
      </c>
      <c r="Y15" s="37">
        <f t="shared" si="16"/>
      </c>
      <c r="Z15" s="47">
        <f t="shared" si="17"/>
      </c>
      <c r="AA15" s="37">
        <f t="shared" si="18"/>
        <v>0</v>
      </c>
      <c r="AE15" s="52">
        <f t="shared" si="19"/>
      </c>
      <c r="AF15" s="53">
        <f t="shared" si="20"/>
      </c>
      <c r="AG15" s="54">
        <f t="shared" si="21"/>
      </c>
      <c r="AH15" s="53">
        <f t="shared" si="22"/>
      </c>
      <c r="AI15" s="53">
        <f t="shared" si="23"/>
      </c>
      <c r="AJ15" s="55">
        <f t="shared" si="24"/>
      </c>
      <c r="AK15" s="55">
        <f t="shared" si="25"/>
      </c>
      <c r="AL15" s="55">
        <f t="shared" si="26"/>
      </c>
      <c r="AN15" s="56">
        <f t="shared" si="27"/>
      </c>
      <c r="AO15" s="53">
        <f t="shared" si="28"/>
      </c>
      <c r="AP15" s="57">
        <f t="shared" si="29"/>
      </c>
      <c r="AQ15" s="58">
        <f t="shared" si="30"/>
      </c>
      <c r="AR15" s="53">
        <f t="shared" si="31"/>
      </c>
      <c r="AS15" s="59">
        <f t="shared" si="32"/>
      </c>
      <c r="AT15" s="53">
        <f t="shared" si="33"/>
      </c>
      <c r="AU15" s="60"/>
      <c r="AV15" s="58">
        <f t="shared" si="34"/>
      </c>
      <c r="AW15" s="37">
        <f t="shared" si="35"/>
      </c>
      <c r="AX15" s="53">
        <f t="shared" si="36"/>
      </c>
      <c r="AY15" s="53">
        <f t="shared" si="37"/>
      </c>
    </row>
    <row r="16" spans="1:51" s="37" customFormat="1" ht="18" customHeight="1">
      <c r="A16" s="61"/>
      <c r="B16" s="62"/>
      <c r="C16" s="62"/>
      <c r="D16" s="1"/>
      <c r="E16" s="1"/>
      <c r="F16" s="63"/>
      <c r="G16" s="14">
        <f t="shared" si="0"/>
      </c>
      <c r="H16" s="64"/>
      <c r="I16" s="14">
        <f t="shared" si="1"/>
      </c>
      <c r="J16" s="15">
        <f t="shared" si="2"/>
      </c>
      <c r="K16" s="16">
        <f t="shared" si="3"/>
      </c>
      <c r="L16" s="47">
        <f t="shared" si="4"/>
      </c>
      <c r="M16" s="16">
        <f t="shared" si="5"/>
      </c>
      <c r="N16" s="14">
        <f t="shared" si="6"/>
      </c>
      <c r="O16" s="14"/>
      <c r="P16" s="16">
        <f t="shared" si="7"/>
        <v>1</v>
      </c>
      <c r="Q16" s="14" t="str">
        <f t="shared" si="8"/>
        <v> </v>
      </c>
      <c r="R16" s="36">
        <f t="shared" si="9"/>
        <v>41.625</v>
      </c>
      <c r="S16" s="16">
        <f t="shared" si="10"/>
      </c>
      <c r="T16" s="16">
        <f t="shared" si="11"/>
      </c>
      <c r="U16" s="14">
        <f t="shared" si="12"/>
      </c>
      <c r="V16" s="37">
        <f t="shared" si="13"/>
        <v>4</v>
      </c>
      <c r="W16" s="14">
        <f t="shared" si="14"/>
      </c>
      <c r="X16" s="14">
        <f t="shared" si="15"/>
      </c>
      <c r="Y16" s="37">
        <f t="shared" si="16"/>
      </c>
      <c r="Z16" s="47">
        <f t="shared" si="17"/>
      </c>
      <c r="AA16" s="37">
        <f t="shared" si="18"/>
        <v>0</v>
      </c>
      <c r="AE16" s="52">
        <f t="shared" si="19"/>
      </c>
      <c r="AF16" s="53">
        <f t="shared" si="20"/>
      </c>
      <c r="AG16" s="54">
        <f t="shared" si="21"/>
      </c>
      <c r="AH16" s="53">
        <f t="shared" si="22"/>
      </c>
      <c r="AI16" s="53">
        <f t="shared" si="23"/>
      </c>
      <c r="AJ16" s="55">
        <f t="shared" si="24"/>
      </c>
      <c r="AK16" s="55">
        <f t="shared" si="25"/>
      </c>
      <c r="AL16" s="55">
        <f t="shared" si="26"/>
      </c>
      <c r="AN16" s="56">
        <f t="shared" si="27"/>
      </c>
      <c r="AO16" s="53">
        <f t="shared" si="28"/>
      </c>
      <c r="AP16" s="57">
        <f t="shared" si="29"/>
      </c>
      <c r="AQ16" s="58">
        <f t="shared" si="30"/>
      </c>
      <c r="AR16" s="53">
        <f t="shared" si="31"/>
      </c>
      <c r="AS16" s="59">
        <f t="shared" si="32"/>
      </c>
      <c r="AT16" s="53">
        <f t="shared" si="33"/>
      </c>
      <c r="AU16" s="60"/>
      <c r="AV16" s="58">
        <f t="shared" si="34"/>
      </c>
      <c r="AW16" s="37">
        <f t="shared" si="35"/>
      </c>
      <c r="AX16" s="53">
        <f t="shared" si="36"/>
      </c>
      <c r="AY16" s="53">
        <f t="shared" si="37"/>
      </c>
    </row>
    <row r="17" spans="1:51" s="37" customFormat="1" ht="18" customHeight="1">
      <c r="A17" s="61"/>
      <c r="B17" s="62"/>
      <c r="C17" s="62"/>
      <c r="D17" s="1"/>
      <c r="E17" s="1"/>
      <c r="F17" s="63"/>
      <c r="G17" s="14">
        <f t="shared" si="0"/>
      </c>
      <c r="H17" s="64"/>
      <c r="I17" s="14">
        <f t="shared" si="1"/>
      </c>
      <c r="J17" s="15">
        <f t="shared" si="2"/>
      </c>
      <c r="K17" s="16">
        <f t="shared" si="3"/>
      </c>
      <c r="L17" s="47">
        <f t="shared" si="4"/>
      </c>
      <c r="M17" s="16">
        <f t="shared" si="5"/>
      </c>
      <c r="N17" s="14">
        <f t="shared" si="6"/>
      </c>
      <c r="O17" s="14"/>
      <c r="P17" s="16">
        <f t="shared" si="7"/>
        <v>1</v>
      </c>
      <c r="Q17" s="14" t="str">
        <f t="shared" si="8"/>
        <v> </v>
      </c>
      <c r="R17" s="36">
        <f t="shared" si="9"/>
        <v>41.625</v>
      </c>
      <c r="S17" s="16">
        <f t="shared" si="10"/>
      </c>
      <c r="T17" s="16">
        <f t="shared" si="11"/>
      </c>
      <c r="U17" s="14">
        <f t="shared" si="12"/>
      </c>
      <c r="V17" s="37">
        <f t="shared" si="13"/>
        <v>4</v>
      </c>
      <c r="W17" s="14">
        <f t="shared" si="14"/>
      </c>
      <c r="X17" s="14">
        <f t="shared" si="15"/>
      </c>
      <c r="Y17" s="37">
        <f t="shared" si="16"/>
      </c>
      <c r="Z17" s="47">
        <f t="shared" si="17"/>
      </c>
      <c r="AA17" s="37">
        <f t="shared" si="18"/>
        <v>0</v>
      </c>
      <c r="AE17" s="52">
        <f t="shared" si="19"/>
      </c>
      <c r="AF17" s="53">
        <f t="shared" si="20"/>
      </c>
      <c r="AG17" s="54">
        <f t="shared" si="21"/>
      </c>
      <c r="AH17" s="53">
        <f t="shared" si="22"/>
      </c>
      <c r="AI17" s="53">
        <f t="shared" si="23"/>
      </c>
      <c r="AJ17" s="55">
        <f t="shared" si="24"/>
      </c>
      <c r="AK17" s="55">
        <f t="shared" si="25"/>
      </c>
      <c r="AL17" s="55">
        <f t="shared" si="26"/>
      </c>
      <c r="AN17" s="56">
        <f t="shared" si="27"/>
      </c>
      <c r="AO17" s="53">
        <f t="shared" si="28"/>
      </c>
      <c r="AP17" s="57">
        <f t="shared" si="29"/>
      </c>
      <c r="AQ17" s="58">
        <f t="shared" si="30"/>
      </c>
      <c r="AR17" s="53">
        <f t="shared" si="31"/>
      </c>
      <c r="AS17" s="59">
        <f t="shared" si="32"/>
      </c>
      <c r="AT17" s="53">
        <f t="shared" si="33"/>
      </c>
      <c r="AU17" s="60"/>
      <c r="AV17" s="58">
        <f t="shared" si="34"/>
      </c>
      <c r="AW17" s="37">
        <f t="shared" si="35"/>
      </c>
      <c r="AX17" s="53">
        <f t="shared" si="36"/>
      </c>
      <c r="AY17" s="53">
        <f t="shared" si="37"/>
      </c>
    </row>
    <row r="18" spans="1:51" s="37" customFormat="1" ht="18" customHeight="1">
      <c r="A18" s="61"/>
      <c r="B18" s="62"/>
      <c r="C18" s="62"/>
      <c r="D18" s="1"/>
      <c r="E18" s="1"/>
      <c r="F18" s="63"/>
      <c r="G18" s="14">
        <f t="shared" si="0"/>
      </c>
      <c r="H18" s="64"/>
      <c r="I18" s="14">
        <f t="shared" si="1"/>
      </c>
      <c r="J18" s="15">
        <f t="shared" si="2"/>
      </c>
      <c r="K18" s="16">
        <f t="shared" si="3"/>
      </c>
      <c r="L18" s="47">
        <f t="shared" si="4"/>
      </c>
      <c r="M18" s="16">
        <f t="shared" si="5"/>
      </c>
      <c r="N18" s="14">
        <f t="shared" si="6"/>
      </c>
      <c r="O18" s="14"/>
      <c r="P18" s="16">
        <f t="shared" si="7"/>
        <v>1</v>
      </c>
      <c r="Q18" s="14" t="str">
        <f t="shared" si="8"/>
        <v> </v>
      </c>
      <c r="R18" s="36">
        <f t="shared" si="9"/>
        <v>41.625</v>
      </c>
      <c r="S18" s="16">
        <f t="shared" si="10"/>
      </c>
      <c r="T18" s="16">
        <f t="shared" si="11"/>
      </c>
      <c r="U18" s="14">
        <f t="shared" si="12"/>
      </c>
      <c r="V18" s="37">
        <f t="shared" si="13"/>
        <v>4</v>
      </c>
      <c r="W18" s="14">
        <f t="shared" si="14"/>
      </c>
      <c r="X18" s="14">
        <f t="shared" si="15"/>
      </c>
      <c r="Y18" s="37">
        <f t="shared" si="16"/>
      </c>
      <c r="Z18" s="47">
        <f t="shared" si="17"/>
      </c>
      <c r="AA18" s="37">
        <f t="shared" si="18"/>
        <v>0</v>
      </c>
      <c r="AE18" s="52">
        <f t="shared" si="19"/>
      </c>
      <c r="AF18" s="53">
        <f t="shared" si="20"/>
      </c>
      <c r="AG18" s="54">
        <f t="shared" si="21"/>
      </c>
      <c r="AH18" s="53">
        <f t="shared" si="22"/>
      </c>
      <c r="AI18" s="53">
        <f t="shared" si="23"/>
      </c>
      <c r="AJ18" s="55">
        <f t="shared" si="24"/>
      </c>
      <c r="AK18" s="55">
        <f t="shared" si="25"/>
      </c>
      <c r="AL18" s="55">
        <f t="shared" si="26"/>
      </c>
      <c r="AN18" s="56">
        <f t="shared" si="27"/>
      </c>
      <c r="AO18" s="53">
        <f t="shared" si="28"/>
      </c>
      <c r="AP18" s="57">
        <f t="shared" si="29"/>
      </c>
      <c r="AQ18" s="58">
        <f t="shared" si="30"/>
      </c>
      <c r="AR18" s="53">
        <f t="shared" si="31"/>
      </c>
      <c r="AS18" s="59">
        <f t="shared" si="32"/>
      </c>
      <c r="AT18" s="53">
        <f t="shared" si="33"/>
      </c>
      <c r="AU18" s="60"/>
      <c r="AV18" s="58">
        <f t="shared" si="34"/>
      </c>
      <c r="AW18" s="37">
        <f t="shared" si="35"/>
      </c>
      <c r="AX18" s="53">
        <f t="shared" si="36"/>
      </c>
      <c r="AY18" s="53">
        <f t="shared" si="37"/>
      </c>
    </row>
    <row r="19" spans="1:51" s="37" customFormat="1" ht="18" customHeight="1">
      <c r="A19" s="61"/>
      <c r="B19" s="62"/>
      <c r="C19" s="62"/>
      <c r="D19" s="1"/>
      <c r="E19" s="1"/>
      <c r="F19" s="63"/>
      <c r="G19" s="14">
        <f t="shared" si="0"/>
      </c>
      <c r="H19" s="64"/>
      <c r="I19" s="14">
        <f t="shared" si="1"/>
      </c>
      <c r="J19" s="15">
        <f t="shared" si="2"/>
      </c>
      <c r="K19" s="16">
        <f t="shared" si="3"/>
      </c>
      <c r="L19" s="47">
        <f t="shared" si="4"/>
      </c>
      <c r="M19" s="16">
        <f t="shared" si="5"/>
      </c>
      <c r="N19" s="14">
        <f t="shared" si="6"/>
      </c>
      <c r="O19" s="14"/>
      <c r="P19" s="16">
        <f t="shared" si="7"/>
        <v>1</v>
      </c>
      <c r="Q19" s="14" t="str">
        <f t="shared" si="8"/>
        <v> </v>
      </c>
      <c r="R19" s="36">
        <f t="shared" si="9"/>
        <v>41.625</v>
      </c>
      <c r="S19" s="16">
        <f t="shared" si="10"/>
      </c>
      <c r="T19" s="16">
        <f t="shared" si="11"/>
      </c>
      <c r="U19" s="14">
        <f t="shared" si="12"/>
      </c>
      <c r="V19" s="37">
        <f t="shared" si="13"/>
        <v>4</v>
      </c>
      <c r="W19" s="14">
        <f t="shared" si="14"/>
      </c>
      <c r="X19" s="14">
        <f t="shared" si="15"/>
      </c>
      <c r="Y19" s="37">
        <f t="shared" si="16"/>
      </c>
      <c r="Z19" s="47">
        <f t="shared" si="17"/>
      </c>
      <c r="AA19" s="37">
        <f t="shared" si="18"/>
        <v>0</v>
      </c>
      <c r="AE19" s="52">
        <f t="shared" si="19"/>
      </c>
      <c r="AF19" s="53">
        <f t="shared" si="20"/>
      </c>
      <c r="AG19" s="54">
        <f t="shared" si="21"/>
      </c>
      <c r="AH19" s="53">
        <f t="shared" si="22"/>
      </c>
      <c r="AI19" s="53">
        <f t="shared" si="23"/>
      </c>
      <c r="AJ19" s="55">
        <f t="shared" si="24"/>
      </c>
      <c r="AK19" s="55">
        <f t="shared" si="25"/>
      </c>
      <c r="AL19" s="55">
        <f t="shared" si="26"/>
      </c>
      <c r="AN19" s="56">
        <f t="shared" si="27"/>
      </c>
      <c r="AO19" s="53">
        <f t="shared" si="28"/>
      </c>
      <c r="AP19" s="57">
        <f t="shared" si="29"/>
      </c>
      <c r="AQ19" s="58">
        <f t="shared" si="30"/>
      </c>
      <c r="AR19" s="53">
        <f t="shared" si="31"/>
      </c>
      <c r="AS19" s="59">
        <f t="shared" si="32"/>
      </c>
      <c r="AT19" s="53">
        <f t="shared" si="33"/>
      </c>
      <c r="AU19" s="60"/>
      <c r="AV19" s="58">
        <f t="shared" si="34"/>
      </c>
      <c r="AW19" s="37">
        <f t="shared" si="35"/>
      </c>
      <c r="AX19" s="53">
        <f t="shared" si="36"/>
      </c>
      <c r="AY19" s="53">
        <f t="shared" si="37"/>
      </c>
    </row>
    <row r="20" spans="1:51" s="37" customFormat="1" ht="18" customHeight="1">
      <c r="A20" s="61"/>
      <c r="B20" s="62"/>
      <c r="C20" s="62"/>
      <c r="D20" s="1"/>
      <c r="E20" s="1"/>
      <c r="F20" s="63"/>
      <c r="G20" s="14">
        <f t="shared" si="0"/>
      </c>
      <c r="H20" s="64"/>
      <c r="I20" s="14">
        <f t="shared" si="1"/>
      </c>
      <c r="J20" s="15">
        <f t="shared" si="2"/>
      </c>
      <c r="K20" s="16">
        <f t="shared" si="3"/>
      </c>
      <c r="L20" s="47">
        <f t="shared" si="4"/>
      </c>
      <c r="M20" s="16">
        <f t="shared" si="5"/>
      </c>
      <c r="N20" s="14">
        <f t="shared" si="6"/>
      </c>
      <c r="O20" s="14"/>
      <c r="P20" s="16">
        <f t="shared" si="7"/>
        <v>1</v>
      </c>
      <c r="Q20" s="14" t="str">
        <f t="shared" si="8"/>
        <v> </v>
      </c>
      <c r="R20" s="36">
        <f t="shared" si="9"/>
        <v>41.625</v>
      </c>
      <c r="S20" s="16">
        <f t="shared" si="10"/>
      </c>
      <c r="T20" s="16">
        <f t="shared" si="11"/>
      </c>
      <c r="U20" s="14">
        <f t="shared" si="12"/>
      </c>
      <c r="V20" s="37">
        <f t="shared" si="13"/>
        <v>4</v>
      </c>
      <c r="W20" s="14">
        <f t="shared" si="14"/>
      </c>
      <c r="X20" s="14">
        <f t="shared" si="15"/>
      </c>
      <c r="Y20" s="37">
        <f t="shared" si="16"/>
      </c>
      <c r="Z20" s="47">
        <f t="shared" si="17"/>
      </c>
      <c r="AA20" s="37">
        <f t="shared" si="18"/>
        <v>0</v>
      </c>
      <c r="AE20" s="52">
        <f t="shared" si="19"/>
      </c>
      <c r="AF20" s="53">
        <f t="shared" si="20"/>
      </c>
      <c r="AG20" s="54">
        <f t="shared" si="21"/>
      </c>
      <c r="AH20" s="53">
        <f t="shared" si="22"/>
      </c>
      <c r="AI20" s="53">
        <f t="shared" si="23"/>
      </c>
      <c r="AJ20" s="55">
        <f t="shared" si="24"/>
      </c>
      <c r="AK20" s="55">
        <f t="shared" si="25"/>
      </c>
      <c r="AL20" s="55">
        <f t="shared" si="26"/>
      </c>
      <c r="AN20" s="56">
        <f t="shared" si="27"/>
      </c>
      <c r="AO20" s="53">
        <f t="shared" si="28"/>
      </c>
      <c r="AP20" s="57">
        <f t="shared" si="29"/>
      </c>
      <c r="AQ20" s="58">
        <f t="shared" si="30"/>
      </c>
      <c r="AR20" s="53">
        <f t="shared" si="31"/>
      </c>
      <c r="AS20" s="59">
        <f t="shared" si="32"/>
      </c>
      <c r="AT20" s="53">
        <f t="shared" si="33"/>
      </c>
      <c r="AU20" s="60"/>
      <c r="AV20" s="58">
        <f t="shared" si="34"/>
      </c>
      <c r="AW20" s="37">
        <f t="shared" si="35"/>
      </c>
      <c r="AX20" s="53">
        <f t="shared" si="36"/>
      </c>
      <c r="AY20" s="53">
        <f t="shared" si="37"/>
      </c>
    </row>
    <row r="21" spans="1:51" s="37" customFormat="1" ht="18" customHeight="1">
      <c r="A21" s="61"/>
      <c r="B21" s="62"/>
      <c r="C21" s="62"/>
      <c r="D21" s="1"/>
      <c r="E21" s="1"/>
      <c r="F21" s="63"/>
      <c r="G21" s="14">
        <f t="shared" si="0"/>
      </c>
      <c r="H21" s="64"/>
      <c r="I21" s="14">
        <f t="shared" si="1"/>
      </c>
      <c r="J21" s="15">
        <f t="shared" si="2"/>
      </c>
      <c r="K21" s="16">
        <f t="shared" si="3"/>
      </c>
      <c r="L21" s="47">
        <f t="shared" si="4"/>
      </c>
      <c r="M21" s="16">
        <f t="shared" si="5"/>
      </c>
      <c r="N21" s="14">
        <f t="shared" si="6"/>
      </c>
      <c r="O21" s="14"/>
      <c r="P21" s="16">
        <f t="shared" si="7"/>
        <v>1</v>
      </c>
      <c r="Q21" s="14" t="str">
        <f t="shared" si="8"/>
        <v> </v>
      </c>
      <c r="R21" s="36">
        <f t="shared" si="9"/>
        <v>41.625</v>
      </c>
      <c r="S21" s="16">
        <f t="shared" si="10"/>
      </c>
      <c r="T21" s="16">
        <f t="shared" si="11"/>
      </c>
      <c r="U21" s="14">
        <f t="shared" si="12"/>
      </c>
      <c r="V21" s="37">
        <f t="shared" si="13"/>
        <v>4</v>
      </c>
      <c r="W21" s="14">
        <f t="shared" si="14"/>
      </c>
      <c r="X21" s="14">
        <f t="shared" si="15"/>
      </c>
      <c r="Y21" s="37">
        <f t="shared" si="16"/>
      </c>
      <c r="Z21" s="47">
        <f t="shared" si="17"/>
      </c>
      <c r="AA21" s="37">
        <f t="shared" si="18"/>
        <v>0</v>
      </c>
      <c r="AE21" s="52">
        <f t="shared" si="19"/>
      </c>
      <c r="AF21" s="53">
        <f t="shared" si="20"/>
      </c>
      <c r="AG21" s="54">
        <f t="shared" si="21"/>
      </c>
      <c r="AH21" s="53">
        <f t="shared" si="22"/>
      </c>
      <c r="AI21" s="53">
        <f t="shared" si="23"/>
      </c>
      <c r="AJ21" s="55">
        <f t="shared" si="24"/>
      </c>
      <c r="AK21" s="55">
        <f t="shared" si="25"/>
      </c>
      <c r="AL21" s="55">
        <f t="shared" si="26"/>
      </c>
      <c r="AN21" s="56">
        <f t="shared" si="27"/>
      </c>
      <c r="AO21" s="53">
        <f t="shared" si="28"/>
      </c>
      <c r="AP21" s="57">
        <f t="shared" si="29"/>
      </c>
      <c r="AQ21" s="58">
        <f t="shared" si="30"/>
      </c>
      <c r="AR21" s="53">
        <f t="shared" si="31"/>
      </c>
      <c r="AS21" s="59">
        <f t="shared" si="32"/>
      </c>
      <c r="AT21" s="53">
        <f t="shared" si="33"/>
      </c>
      <c r="AU21" s="60"/>
      <c r="AV21" s="58">
        <f t="shared" si="34"/>
      </c>
      <c r="AW21" s="37">
        <f t="shared" si="35"/>
      </c>
      <c r="AX21" s="53">
        <f t="shared" si="36"/>
      </c>
      <c r="AY21" s="53">
        <f t="shared" si="37"/>
      </c>
    </row>
    <row r="22" spans="1:51" s="37" customFormat="1" ht="18" customHeight="1">
      <c r="A22" s="61"/>
      <c r="B22" s="62"/>
      <c r="C22" s="62"/>
      <c r="D22" s="1"/>
      <c r="E22" s="1"/>
      <c r="F22" s="63"/>
      <c r="G22" s="14">
        <f t="shared" si="0"/>
      </c>
      <c r="H22" s="64"/>
      <c r="I22" s="14">
        <f t="shared" si="1"/>
      </c>
      <c r="J22" s="15">
        <f t="shared" si="2"/>
      </c>
      <c r="K22" s="16">
        <f t="shared" si="3"/>
      </c>
      <c r="L22" s="47">
        <f t="shared" si="4"/>
      </c>
      <c r="M22" s="16">
        <f t="shared" si="5"/>
      </c>
      <c r="N22" s="14">
        <f t="shared" si="6"/>
      </c>
      <c r="O22" s="14"/>
      <c r="P22" s="16">
        <f t="shared" si="7"/>
        <v>1</v>
      </c>
      <c r="Q22" s="14" t="str">
        <f t="shared" si="8"/>
        <v> </v>
      </c>
      <c r="R22" s="36">
        <f t="shared" si="9"/>
        <v>41.625</v>
      </c>
      <c r="S22" s="16">
        <f t="shared" si="10"/>
      </c>
      <c r="T22" s="16">
        <f t="shared" si="11"/>
      </c>
      <c r="U22" s="14">
        <f t="shared" si="12"/>
      </c>
      <c r="V22" s="37">
        <f t="shared" si="13"/>
        <v>4</v>
      </c>
      <c r="W22" s="14">
        <f t="shared" si="14"/>
      </c>
      <c r="X22" s="14">
        <f t="shared" si="15"/>
      </c>
      <c r="Y22" s="37">
        <f t="shared" si="16"/>
      </c>
      <c r="Z22" s="47">
        <f t="shared" si="17"/>
      </c>
      <c r="AA22" s="37">
        <f t="shared" si="18"/>
        <v>0</v>
      </c>
      <c r="AE22" s="52">
        <f t="shared" si="19"/>
      </c>
      <c r="AF22" s="53">
        <f t="shared" si="20"/>
      </c>
      <c r="AG22" s="54">
        <f t="shared" si="21"/>
      </c>
      <c r="AH22" s="53">
        <f t="shared" si="22"/>
      </c>
      <c r="AI22" s="53">
        <f t="shared" si="23"/>
      </c>
      <c r="AJ22" s="55">
        <f t="shared" si="24"/>
      </c>
      <c r="AK22" s="55">
        <f t="shared" si="25"/>
      </c>
      <c r="AL22" s="55">
        <f t="shared" si="26"/>
      </c>
      <c r="AN22" s="56">
        <f t="shared" si="27"/>
      </c>
      <c r="AO22" s="53">
        <f t="shared" si="28"/>
      </c>
      <c r="AP22" s="57">
        <f t="shared" si="29"/>
      </c>
      <c r="AQ22" s="58">
        <f t="shared" si="30"/>
      </c>
      <c r="AR22" s="53">
        <f t="shared" si="31"/>
      </c>
      <c r="AS22" s="59">
        <f t="shared" si="32"/>
      </c>
      <c r="AT22" s="53">
        <f t="shared" si="33"/>
      </c>
      <c r="AU22" s="60"/>
      <c r="AV22" s="58">
        <f t="shared" si="34"/>
      </c>
      <c r="AW22" s="37">
        <f t="shared" si="35"/>
      </c>
      <c r="AX22" s="53">
        <f t="shared" si="36"/>
      </c>
      <c r="AY22" s="53">
        <f t="shared" si="37"/>
      </c>
    </row>
    <row r="23" spans="1:51" s="37" customFormat="1" ht="18" customHeight="1">
      <c r="A23" s="61"/>
      <c r="B23" s="62"/>
      <c r="C23" s="62"/>
      <c r="D23" s="1"/>
      <c r="E23" s="1"/>
      <c r="F23" s="63"/>
      <c r="G23" s="14">
        <f t="shared" si="0"/>
      </c>
      <c r="H23" s="64"/>
      <c r="I23" s="14">
        <f t="shared" si="1"/>
      </c>
      <c r="J23" s="15">
        <f t="shared" si="2"/>
      </c>
      <c r="K23" s="16">
        <f t="shared" si="3"/>
      </c>
      <c r="L23" s="47">
        <f t="shared" si="4"/>
      </c>
      <c r="M23" s="16">
        <f t="shared" si="5"/>
      </c>
      <c r="N23" s="14">
        <f t="shared" si="6"/>
      </c>
      <c r="O23" s="14"/>
      <c r="P23" s="16">
        <f t="shared" si="7"/>
        <v>1</v>
      </c>
      <c r="Q23" s="14" t="str">
        <f t="shared" si="8"/>
        <v> </v>
      </c>
      <c r="R23" s="36">
        <f t="shared" si="9"/>
        <v>41.625</v>
      </c>
      <c r="S23" s="16">
        <f t="shared" si="10"/>
      </c>
      <c r="T23" s="16">
        <f t="shared" si="11"/>
      </c>
      <c r="U23" s="14">
        <f t="shared" si="12"/>
      </c>
      <c r="V23" s="37">
        <f t="shared" si="13"/>
        <v>4</v>
      </c>
      <c r="W23" s="14">
        <f t="shared" si="14"/>
      </c>
      <c r="X23" s="14">
        <f t="shared" si="15"/>
      </c>
      <c r="Y23" s="37">
        <f t="shared" si="16"/>
      </c>
      <c r="Z23" s="47">
        <f t="shared" si="17"/>
      </c>
      <c r="AA23" s="37">
        <f t="shared" si="18"/>
        <v>0</v>
      </c>
      <c r="AE23" s="52">
        <f t="shared" si="19"/>
      </c>
      <c r="AF23" s="53">
        <f t="shared" si="20"/>
      </c>
      <c r="AG23" s="54">
        <f t="shared" si="21"/>
      </c>
      <c r="AH23" s="53">
        <f t="shared" si="22"/>
      </c>
      <c r="AI23" s="53">
        <f t="shared" si="23"/>
      </c>
      <c r="AJ23" s="55">
        <f t="shared" si="24"/>
      </c>
      <c r="AK23" s="55">
        <f t="shared" si="25"/>
      </c>
      <c r="AL23" s="55">
        <f t="shared" si="26"/>
      </c>
      <c r="AN23" s="56">
        <f t="shared" si="27"/>
      </c>
      <c r="AO23" s="53">
        <f t="shared" si="28"/>
      </c>
      <c r="AP23" s="57">
        <f t="shared" si="29"/>
      </c>
      <c r="AQ23" s="58">
        <f t="shared" si="30"/>
      </c>
      <c r="AR23" s="53">
        <f t="shared" si="31"/>
      </c>
      <c r="AS23" s="59">
        <f t="shared" si="32"/>
      </c>
      <c r="AT23" s="53">
        <f t="shared" si="33"/>
      </c>
      <c r="AU23" s="60"/>
      <c r="AV23" s="58">
        <f t="shared" si="34"/>
      </c>
      <c r="AW23" s="37">
        <f t="shared" si="35"/>
      </c>
      <c r="AX23" s="53">
        <f t="shared" si="36"/>
      </c>
      <c r="AY23" s="53">
        <f t="shared" si="37"/>
      </c>
    </row>
    <row r="24" spans="1:51" s="37" customFormat="1" ht="18" customHeight="1">
      <c r="A24" s="61"/>
      <c r="B24" s="62"/>
      <c r="C24" s="62"/>
      <c r="D24" s="1"/>
      <c r="E24" s="1"/>
      <c r="F24" s="63"/>
      <c r="G24" s="14">
        <f t="shared" si="0"/>
      </c>
      <c r="H24" s="64"/>
      <c r="I24" s="14">
        <f t="shared" si="1"/>
      </c>
      <c r="J24" s="15">
        <f t="shared" si="2"/>
      </c>
      <c r="K24" s="16">
        <f t="shared" si="3"/>
      </c>
      <c r="L24" s="47">
        <f t="shared" si="4"/>
      </c>
      <c r="M24" s="16">
        <f t="shared" si="5"/>
      </c>
      <c r="N24" s="14">
        <f t="shared" si="6"/>
      </c>
      <c r="O24" s="14"/>
      <c r="P24" s="16">
        <f t="shared" si="7"/>
        <v>1</v>
      </c>
      <c r="Q24" s="14" t="str">
        <f t="shared" si="8"/>
        <v> </v>
      </c>
      <c r="R24" s="36">
        <f t="shared" si="9"/>
        <v>41.625</v>
      </c>
      <c r="S24" s="16">
        <f t="shared" si="10"/>
      </c>
      <c r="T24" s="16">
        <f t="shared" si="11"/>
      </c>
      <c r="U24" s="14">
        <f t="shared" si="12"/>
      </c>
      <c r="V24" s="37">
        <f t="shared" si="13"/>
        <v>4</v>
      </c>
      <c r="W24" s="14">
        <f t="shared" si="14"/>
      </c>
      <c r="X24" s="14">
        <f t="shared" si="15"/>
      </c>
      <c r="Y24" s="37">
        <f t="shared" si="16"/>
      </c>
      <c r="Z24" s="47">
        <f t="shared" si="17"/>
      </c>
      <c r="AA24" s="37">
        <f t="shared" si="18"/>
        <v>0</v>
      </c>
      <c r="AE24" s="52">
        <f t="shared" si="19"/>
      </c>
      <c r="AF24" s="53">
        <f t="shared" si="20"/>
      </c>
      <c r="AG24" s="54">
        <f t="shared" si="21"/>
      </c>
      <c r="AH24" s="53">
        <f t="shared" si="22"/>
      </c>
      <c r="AI24" s="53">
        <f t="shared" si="23"/>
      </c>
      <c r="AJ24" s="55">
        <f t="shared" si="24"/>
      </c>
      <c r="AK24" s="55">
        <f t="shared" si="25"/>
      </c>
      <c r="AL24" s="55">
        <f t="shared" si="26"/>
      </c>
      <c r="AN24" s="56">
        <f t="shared" si="27"/>
      </c>
      <c r="AO24" s="53">
        <f t="shared" si="28"/>
      </c>
      <c r="AP24" s="57">
        <f t="shared" si="29"/>
      </c>
      <c r="AQ24" s="58">
        <f t="shared" si="30"/>
      </c>
      <c r="AR24" s="53">
        <f t="shared" si="31"/>
      </c>
      <c r="AS24" s="59">
        <f t="shared" si="32"/>
      </c>
      <c r="AT24" s="53">
        <f t="shared" si="33"/>
      </c>
      <c r="AU24" s="60"/>
      <c r="AV24" s="58">
        <f t="shared" si="34"/>
      </c>
      <c r="AW24" s="37">
        <f t="shared" si="35"/>
      </c>
      <c r="AX24" s="53">
        <f t="shared" si="36"/>
      </c>
      <c r="AY24" s="53">
        <f t="shared" si="37"/>
      </c>
    </row>
    <row r="25" spans="1:51" s="37" customFormat="1" ht="18" customHeight="1">
      <c r="A25" s="61"/>
      <c r="B25" s="62"/>
      <c r="C25" s="62"/>
      <c r="D25" s="1"/>
      <c r="E25" s="1"/>
      <c r="F25" s="63"/>
      <c r="G25" s="14">
        <f t="shared" si="0"/>
      </c>
      <c r="H25" s="64"/>
      <c r="I25" s="14">
        <f t="shared" si="1"/>
      </c>
      <c r="J25" s="15">
        <f t="shared" si="2"/>
      </c>
      <c r="K25" s="16">
        <f t="shared" si="3"/>
      </c>
      <c r="L25" s="47">
        <f t="shared" si="4"/>
      </c>
      <c r="M25" s="16">
        <f t="shared" si="5"/>
      </c>
      <c r="N25" s="14">
        <f t="shared" si="6"/>
      </c>
      <c r="O25" s="14"/>
      <c r="P25" s="16">
        <f t="shared" si="7"/>
        <v>1</v>
      </c>
      <c r="Q25" s="14" t="str">
        <f t="shared" si="8"/>
        <v> </v>
      </c>
      <c r="R25" s="36">
        <f t="shared" si="9"/>
        <v>41.625</v>
      </c>
      <c r="S25" s="16">
        <f t="shared" si="10"/>
      </c>
      <c r="T25" s="16">
        <f t="shared" si="11"/>
      </c>
      <c r="U25" s="14">
        <f t="shared" si="12"/>
      </c>
      <c r="V25" s="37">
        <f t="shared" si="13"/>
        <v>4</v>
      </c>
      <c r="W25" s="14">
        <f t="shared" si="14"/>
      </c>
      <c r="X25" s="14">
        <f t="shared" si="15"/>
      </c>
      <c r="Y25" s="37">
        <f t="shared" si="16"/>
      </c>
      <c r="Z25" s="47">
        <f t="shared" si="17"/>
      </c>
      <c r="AA25" s="37">
        <f t="shared" si="18"/>
        <v>0</v>
      </c>
      <c r="AE25" s="52">
        <f t="shared" si="19"/>
      </c>
      <c r="AF25" s="53">
        <f t="shared" si="20"/>
      </c>
      <c r="AG25" s="54">
        <f t="shared" si="21"/>
      </c>
      <c r="AH25" s="53">
        <f t="shared" si="22"/>
      </c>
      <c r="AI25" s="53">
        <f t="shared" si="23"/>
      </c>
      <c r="AJ25" s="55">
        <f t="shared" si="24"/>
      </c>
      <c r="AK25" s="55">
        <f t="shared" si="25"/>
      </c>
      <c r="AL25" s="55">
        <f t="shared" si="26"/>
      </c>
      <c r="AN25" s="56">
        <f t="shared" si="27"/>
      </c>
      <c r="AO25" s="53">
        <f t="shared" si="28"/>
      </c>
      <c r="AP25" s="57">
        <f t="shared" si="29"/>
      </c>
      <c r="AQ25" s="58">
        <f t="shared" si="30"/>
      </c>
      <c r="AR25" s="53">
        <f t="shared" si="31"/>
      </c>
      <c r="AS25" s="59">
        <f t="shared" si="32"/>
      </c>
      <c r="AT25" s="53">
        <f t="shared" si="33"/>
      </c>
      <c r="AU25" s="60"/>
      <c r="AV25" s="58">
        <f t="shared" si="34"/>
      </c>
      <c r="AW25" s="37">
        <f t="shared" si="35"/>
      </c>
      <c r="AX25" s="53">
        <f t="shared" si="36"/>
      </c>
      <c r="AY25" s="53">
        <f t="shared" si="37"/>
      </c>
    </row>
    <row r="26" spans="1:51" s="37" customFormat="1" ht="18" customHeight="1">
      <c r="A26" s="61"/>
      <c r="B26" s="62"/>
      <c r="C26" s="62"/>
      <c r="D26" s="1"/>
      <c r="E26" s="1"/>
      <c r="F26" s="63"/>
      <c r="G26" s="14">
        <f t="shared" si="0"/>
      </c>
      <c r="H26" s="64"/>
      <c r="I26" s="14">
        <f t="shared" si="1"/>
      </c>
      <c r="J26" s="15">
        <f t="shared" si="2"/>
      </c>
      <c r="K26" s="16">
        <f t="shared" si="3"/>
      </c>
      <c r="L26" s="47">
        <f t="shared" si="4"/>
      </c>
      <c r="M26" s="16">
        <f t="shared" si="5"/>
      </c>
      <c r="N26" s="14">
        <f t="shared" si="6"/>
      </c>
      <c r="O26" s="14"/>
      <c r="P26" s="16">
        <f t="shared" si="7"/>
        <v>1</v>
      </c>
      <c r="Q26" s="14" t="str">
        <f t="shared" si="8"/>
        <v> </v>
      </c>
      <c r="R26" s="36">
        <f t="shared" si="9"/>
        <v>41.625</v>
      </c>
      <c r="S26" s="16">
        <f t="shared" si="10"/>
      </c>
      <c r="T26" s="16">
        <f t="shared" si="11"/>
      </c>
      <c r="U26" s="14">
        <f t="shared" si="12"/>
      </c>
      <c r="V26" s="37">
        <f t="shared" si="13"/>
        <v>4</v>
      </c>
      <c r="W26" s="14">
        <f t="shared" si="14"/>
      </c>
      <c r="X26" s="14">
        <f t="shared" si="15"/>
      </c>
      <c r="Y26" s="37">
        <f t="shared" si="16"/>
      </c>
      <c r="Z26" s="47">
        <f t="shared" si="17"/>
      </c>
      <c r="AA26" s="37">
        <f t="shared" si="18"/>
        <v>0</v>
      </c>
      <c r="AE26" s="52">
        <f t="shared" si="19"/>
      </c>
      <c r="AF26" s="53">
        <f t="shared" si="20"/>
      </c>
      <c r="AG26" s="54">
        <f t="shared" si="21"/>
      </c>
      <c r="AH26" s="53">
        <f t="shared" si="22"/>
      </c>
      <c r="AI26" s="53">
        <f t="shared" si="23"/>
      </c>
      <c r="AJ26" s="55">
        <f t="shared" si="24"/>
      </c>
      <c r="AK26" s="55">
        <f t="shared" si="25"/>
      </c>
      <c r="AL26" s="55">
        <f t="shared" si="26"/>
      </c>
      <c r="AN26" s="56">
        <f t="shared" si="27"/>
      </c>
      <c r="AO26" s="53">
        <f t="shared" si="28"/>
      </c>
      <c r="AP26" s="57">
        <f t="shared" si="29"/>
      </c>
      <c r="AQ26" s="58">
        <f t="shared" si="30"/>
      </c>
      <c r="AR26" s="53">
        <f t="shared" si="31"/>
      </c>
      <c r="AS26" s="59">
        <f t="shared" si="32"/>
      </c>
      <c r="AT26" s="53">
        <f t="shared" si="33"/>
      </c>
      <c r="AU26" s="60"/>
      <c r="AV26" s="58">
        <f t="shared" si="34"/>
      </c>
      <c r="AW26" s="37">
        <f t="shared" si="35"/>
      </c>
      <c r="AX26" s="53">
        <f t="shared" si="36"/>
      </c>
      <c r="AY26" s="53">
        <f t="shared" si="37"/>
      </c>
    </row>
    <row r="27" spans="1:51" s="37" customFormat="1" ht="18" customHeight="1">
      <c r="A27" s="61"/>
      <c r="B27" s="62"/>
      <c r="C27" s="62"/>
      <c r="D27" s="1"/>
      <c r="E27" s="1"/>
      <c r="F27" s="63"/>
      <c r="G27" s="14">
        <f t="shared" si="0"/>
      </c>
      <c r="H27" s="64"/>
      <c r="I27" s="14">
        <f t="shared" si="1"/>
      </c>
      <c r="J27" s="15">
        <f t="shared" si="2"/>
      </c>
      <c r="K27" s="16">
        <f t="shared" si="3"/>
      </c>
      <c r="L27" s="47">
        <f t="shared" si="4"/>
      </c>
      <c r="M27" s="16">
        <f t="shared" si="5"/>
      </c>
      <c r="N27" s="14">
        <f t="shared" si="6"/>
      </c>
      <c r="O27" s="14"/>
      <c r="P27" s="16">
        <f t="shared" si="7"/>
        <v>1</v>
      </c>
      <c r="Q27" s="14" t="str">
        <f t="shared" si="8"/>
        <v> </v>
      </c>
      <c r="R27" s="36">
        <f t="shared" si="9"/>
        <v>41.625</v>
      </c>
      <c r="S27" s="16">
        <f t="shared" si="10"/>
      </c>
      <c r="T27" s="16">
        <f t="shared" si="11"/>
      </c>
      <c r="U27" s="14">
        <f t="shared" si="12"/>
      </c>
      <c r="V27" s="37">
        <f t="shared" si="13"/>
        <v>4</v>
      </c>
      <c r="W27" s="14">
        <f t="shared" si="14"/>
      </c>
      <c r="X27" s="14">
        <f t="shared" si="15"/>
      </c>
      <c r="Y27" s="37">
        <f t="shared" si="16"/>
      </c>
      <c r="Z27" s="47">
        <f t="shared" si="17"/>
      </c>
      <c r="AA27" s="37">
        <f t="shared" si="18"/>
        <v>0</v>
      </c>
      <c r="AE27" s="52">
        <f t="shared" si="19"/>
      </c>
      <c r="AF27" s="53">
        <f t="shared" si="20"/>
      </c>
      <c r="AG27" s="54">
        <f t="shared" si="21"/>
      </c>
      <c r="AH27" s="53">
        <f t="shared" si="22"/>
      </c>
      <c r="AI27" s="53">
        <f t="shared" si="23"/>
      </c>
      <c r="AJ27" s="55">
        <f t="shared" si="24"/>
      </c>
      <c r="AK27" s="55">
        <f t="shared" si="25"/>
      </c>
      <c r="AL27" s="55">
        <f t="shared" si="26"/>
      </c>
      <c r="AN27" s="56">
        <f t="shared" si="27"/>
      </c>
      <c r="AO27" s="53">
        <f t="shared" si="28"/>
      </c>
      <c r="AP27" s="57">
        <f t="shared" si="29"/>
      </c>
      <c r="AQ27" s="58">
        <f t="shared" si="30"/>
      </c>
      <c r="AR27" s="53">
        <f t="shared" si="31"/>
      </c>
      <c r="AS27" s="59">
        <f t="shared" si="32"/>
      </c>
      <c r="AT27" s="53">
        <f t="shared" si="33"/>
      </c>
      <c r="AU27" s="60"/>
      <c r="AV27" s="58">
        <f t="shared" si="34"/>
      </c>
      <c r="AW27" s="37">
        <f t="shared" si="35"/>
      </c>
      <c r="AX27" s="53">
        <f t="shared" si="36"/>
      </c>
      <c r="AY27" s="53">
        <f t="shared" si="37"/>
      </c>
    </row>
    <row r="28" spans="1:51" s="37" customFormat="1" ht="18" customHeight="1">
      <c r="A28" s="61"/>
      <c r="B28" s="62"/>
      <c r="C28" s="62"/>
      <c r="D28" s="1"/>
      <c r="E28" s="1"/>
      <c r="F28" s="63"/>
      <c r="G28" s="14">
        <f t="shared" si="0"/>
      </c>
      <c r="H28" s="64"/>
      <c r="I28" s="14">
        <f t="shared" si="1"/>
      </c>
      <c r="J28" s="15">
        <f t="shared" si="2"/>
      </c>
      <c r="K28" s="16">
        <f t="shared" si="3"/>
      </c>
      <c r="L28" s="47">
        <f t="shared" si="4"/>
      </c>
      <c r="M28" s="16">
        <f t="shared" si="5"/>
      </c>
      <c r="N28" s="14">
        <f t="shared" si="6"/>
      </c>
      <c r="O28" s="14"/>
      <c r="P28" s="16">
        <f t="shared" si="7"/>
        <v>1</v>
      </c>
      <c r="Q28" s="14" t="str">
        <f t="shared" si="8"/>
        <v> </v>
      </c>
      <c r="R28" s="36">
        <f t="shared" si="9"/>
        <v>41.625</v>
      </c>
      <c r="S28" s="16">
        <f t="shared" si="10"/>
      </c>
      <c r="T28" s="16">
        <f t="shared" si="11"/>
      </c>
      <c r="U28" s="14">
        <f t="shared" si="12"/>
      </c>
      <c r="V28" s="37">
        <f t="shared" si="13"/>
        <v>4</v>
      </c>
      <c r="W28" s="14">
        <f t="shared" si="14"/>
      </c>
      <c r="X28" s="14">
        <f t="shared" si="15"/>
      </c>
      <c r="Y28" s="37">
        <f t="shared" si="16"/>
      </c>
      <c r="Z28" s="47">
        <f t="shared" si="17"/>
      </c>
      <c r="AA28" s="37">
        <f t="shared" si="18"/>
        <v>0</v>
      </c>
      <c r="AE28" s="52">
        <f t="shared" si="19"/>
      </c>
      <c r="AF28" s="53">
        <f t="shared" si="20"/>
      </c>
      <c r="AG28" s="54">
        <f t="shared" si="21"/>
      </c>
      <c r="AH28" s="53">
        <f t="shared" si="22"/>
      </c>
      <c r="AI28" s="53">
        <f t="shared" si="23"/>
      </c>
      <c r="AJ28" s="55">
        <f t="shared" si="24"/>
      </c>
      <c r="AK28" s="55">
        <f t="shared" si="25"/>
      </c>
      <c r="AL28" s="55">
        <f t="shared" si="26"/>
      </c>
      <c r="AN28" s="56">
        <f t="shared" si="27"/>
      </c>
      <c r="AO28" s="53">
        <f t="shared" si="28"/>
      </c>
      <c r="AP28" s="57">
        <f t="shared" si="29"/>
      </c>
      <c r="AQ28" s="58">
        <f t="shared" si="30"/>
      </c>
      <c r="AR28" s="53">
        <f t="shared" si="31"/>
      </c>
      <c r="AS28" s="59">
        <f t="shared" si="32"/>
      </c>
      <c r="AT28" s="53">
        <f t="shared" si="33"/>
      </c>
      <c r="AU28" s="60"/>
      <c r="AV28" s="58">
        <f t="shared" si="34"/>
      </c>
      <c r="AW28" s="37">
        <f t="shared" si="35"/>
      </c>
      <c r="AX28" s="53">
        <f t="shared" si="36"/>
      </c>
      <c r="AY28" s="53">
        <f t="shared" si="37"/>
      </c>
    </row>
    <row r="29" spans="1:51" s="37" customFormat="1" ht="18" customHeight="1">
      <c r="A29" s="61"/>
      <c r="B29" s="62"/>
      <c r="C29" s="62"/>
      <c r="D29" s="1"/>
      <c r="E29" s="1"/>
      <c r="F29" s="2"/>
      <c r="G29" s="14">
        <f t="shared" si="0"/>
      </c>
      <c r="H29" s="64"/>
      <c r="I29" s="14">
        <f t="shared" si="1"/>
      </c>
      <c r="J29" s="15">
        <f t="shared" si="2"/>
      </c>
      <c r="K29" s="16">
        <f t="shared" si="3"/>
      </c>
      <c r="L29" s="47">
        <f t="shared" si="4"/>
      </c>
      <c r="M29" s="16">
        <f t="shared" si="5"/>
      </c>
      <c r="N29" s="14">
        <f t="shared" si="6"/>
      </c>
      <c r="O29" s="14"/>
      <c r="P29" s="16">
        <f t="shared" si="7"/>
        <v>1</v>
      </c>
      <c r="Q29" s="14" t="str">
        <f t="shared" si="8"/>
        <v> </v>
      </c>
      <c r="R29" s="36">
        <f t="shared" si="9"/>
        <v>41.625</v>
      </c>
      <c r="S29" s="16">
        <f t="shared" si="10"/>
      </c>
      <c r="T29" s="16">
        <f t="shared" si="11"/>
      </c>
      <c r="U29" s="14">
        <f t="shared" si="12"/>
      </c>
      <c r="V29" s="37">
        <f t="shared" si="13"/>
        <v>4</v>
      </c>
      <c r="W29" s="14">
        <f t="shared" si="14"/>
      </c>
      <c r="X29" s="14">
        <f t="shared" si="15"/>
      </c>
      <c r="Y29" s="37">
        <f t="shared" si="16"/>
      </c>
      <c r="Z29" s="47">
        <f t="shared" si="17"/>
      </c>
      <c r="AA29" s="37">
        <f t="shared" si="18"/>
        <v>0</v>
      </c>
      <c r="AE29" s="52">
        <f t="shared" si="19"/>
      </c>
      <c r="AF29" s="53">
        <f t="shared" si="20"/>
      </c>
      <c r="AG29" s="54">
        <f t="shared" si="21"/>
      </c>
      <c r="AH29" s="53">
        <f t="shared" si="22"/>
      </c>
      <c r="AI29" s="53">
        <f t="shared" si="23"/>
      </c>
      <c r="AJ29" s="55">
        <f t="shared" si="24"/>
      </c>
      <c r="AK29" s="55">
        <f t="shared" si="25"/>
      </c>
      <c r="AL29" s="55">
        <f t="shared" si="26"/>
      </c>
      <c r="AN29" s="56">
        <f t="shared" si="27"/>
      </c>
      <c r="AO29" s="53">
        <f t="shared" si="28"/>
      </c>
      <c r="AP29" s="57">
        <f t="shared" si="29"/>
      </c>
      <c r="AQ29" s="58">
        <f t="shared" si="30"/>
      </c>
      <c r="AR29" s="53">
        <f t="shared" si="31"/>
      </c>
      <c r="AS29" s="59">
        <f t="shared" si="32"/>
      </c>
      <c r="AT29" s="53">
        <f t="shared" si="33"/>
      </c>
      <c r="AU29" s="60"/>
      <c r="AV29" s="58">
        <f t="shared" si="34"/>
      </c>
      <c r="AW29" s="37">
        <f t="shared" si="35"/>
      </c>
      <c r="AX29" s="53">
        <f t="shared" si="36"/>
      </c>
      <c r="AY29" s="53">
        <f t="shared" si="37"/>
      </c>
    </row>
    <row r="30" spans="1:51" s="37" customFormat="1" ht="18" customHeight="1">
      <c r="A30" s="61"/>
      <c r="B30" s="62"/>
      <c r="C30" s="62"/>
      <c r="D30" s="1"/>
      <c r="E30" s="1"/>
      <c r="F30" s="2"/>
      <c r="G30" s="14">
        <f t="shared" si="0"/>
      </c>
      <c r="H30" s="64"/>
      <c r="I30" s="14">
        <f t="shared" si="1"/>
      </c>
      <c r="J30" s="15">
        <f t="shared" si="2"/>
      </c>
      <c r="K30" s="16">
        <f t="shared" si="3"/>
      </c>
      <c r="L30" s="47">
        <f t="shared" si="4"/>
      </c>
      <c r="M30" s="16">
        <f t="shared" si="5"/>
      </c>
      <c r="N30" s="14">
        <f t="shared" si="6"/>
      </c>
      <c r="O30" s="14"/>
      <c r="P30" s="16">
        <f t="shared" si="7"/>
        <v>1</v>
      </c>
      <c r="Q30" s="14" t="str">
        <f t="shared" si="8"/>
        <v> </v>
      </c>
      <c r="R30" s="36">
        <f t="shared" si="9"/>
        <v>41.625</v>
      </c>
      <c r="S30" s="16">
        <f t="shared" si="10"/>
      </c>
      <c r="T30" s="16">
        <f t="shared" si="11"/>
      </c>
      <c r="U30" s="14">
        <f t="shared" si="12"/>
      </c>
      <c r="V30" s="37">
        <f t="shared" si="13"/>
        <v>4</v>
      </c>
      <c r="W30" s="14">
        <f t="shared" si="14"/>
      </c>
      <c r="X30" s="14">
        <f t="shared" si="15"/>
      </c>
      <c r="Y30" s="37">
        <f t="shared" si="16"/>
      </c>
      <c r="Z30" s="47">
        <f t="shared" si="17"/>
      </c>
      <c r="AA30" s="37">
        <f t="shared" si="18"/>
        <v>0</v>
      </c>
      <c r="AE30" s="52">
        <f t="shared" si="19"/>
      </c>
      <c r="AF30" s="53">
        <f t="shared" si="20"/>
      </c>
      <c r="AG30" s="54">
        <f t="shared" si="21"/>
      </c>
      <c r="AH30" s="53">
        <f t="shared" si="22"/>
      </c>
      <c r="AI30" s="53">
        <f t="shared" si="23"/>
      </c>
      <c r="AJ30" s="55">
        <f t="shared" si="24"/>
      </c>
      <c r="AK30" s="55">
        <f t="shared" si="25"/>
      </c>
      <c r="AL30" s="55">
        <f t="shared" si="26"/>
      </c>
      <c r="AN30" s="56">
        <f t="shared" si="27"/>
      </c>
      <c r="AO30" s="53">
        <f t="shared" si="28"/>
      </c>
      <c r="AP30" s="57">
        <f t="shared" si="29"/>
      </c>
      <c r="AQ30" s="58">
        <f t="shared" si="30"/>
      </c>
      <c r="AR30" s="53">
        <f t="shared" si="31"/>
      </c>
      <c r="AS30" s="59">
        <f t="shared" si="32"/>
      </c>
      <c r="AT30" s="53">
        <f t="shared" si="33"/>
      </c>
      <c r="AU30" s="60"/>
      <c r="AV30" s="58">
        <f t="shared" si="34"/>
      </c>
      <c r="AW30" s="37">
        <f t="shared" si="35"/>
      </c>
      <c r="AX30" s="53">
        <f t="shared" si="36"/>
      </c>
      <c r="AY30" s="53">
        <f t="shared" si="37"/>
      </c>
    </row>
    <row r="31" spans="1:51" s="37" customFormat="1" ht="18" customHeight="1">
      <c r="A31" s="61"/>
      <c r="B31" s="62"/>
      <c r="C31" s="62"/>
      <c r="D31" s="1"/>
      <c r="E31" s="1"/>
      <c r="F31" s="2"/>
      <c r="G31" s="14">
        <f t="shared" si="0"/>
      </c>
      <c r="H31" s="64"/>
      <c r="I31" s="14">
        <f t="shared" si="1"/>
      </c>
      <c r="J31" s="15">
        <f t="shared" si="2"/>
      </c>
      <c r="K31" s="16">
        <f t="shared" si="3"/>
      </c>
      <c r="L31" s="47">
        <f t="shared" si="4"/>
      </c>
      <c r="M31" s="16">
        <f t="shared" si="5"/>
      </c>
      <c r="N31" s="14">
        <f t="shared" si="6"/>
      </c>
      <c r="O31" s="14"/>
      <c r="P31" s="16">
        <f t="shared" si="7"/>
        <v>1</v>
      </c>
      <c r="Q31" s="14" t="str">
        <f t="shared" si="8"/>
        <v> </v>
      </c>
      <c r="R31" s="36">
        <f t="shared" si="9"/>
        <v>41.625</v>
      </c>
      <c r="S31" s="16">
        <f t="shared" si="10"/>
      </c>
      <c r="T31" s="16">
        <f t="shared" si="11"/>
      </c>
      <c r="U31" s="14">
        <f t="shared" si="12"/>
      </c>
      <c r="V31" s="37">
        <f t="shared" si="13"/>
        <v>4</v>
      </c>
      <c r="W31" s="14">
        <f t="shared" si="14"/>
      </c>
      <c r="X31" s="14">
        <f t="shared" si="15"/>
      </c>
      <c r="Y31" s="37">
        <f t="shared" si="16"/>
      </c>
      <c r="Z31" s="47">
        <f t="shared" si="17"/>
      </c>
      <c r="AA31" s="37">
        <f t="shared" si="18"/>
        <v>0</v>
      </c>
      <c r="AE31" s="52">
        <f t="shared" si="19"/>
      </c>
      <c r="AF31" s="53">
        <f t="shared" si="20"/>
      </c>
      <c r="AG31" s="54">
        <f t="shared" si="21"/>
      </c>
      <c r="AH31" s="53">
        <f t="shared" si="22"/>
      </c>
      <c r="AI31" s="53">
        <f t="shared" si="23"/>
      </c>
      <c r="AJ31" s="55">
        <f t="shared" si="24"/>
      </c>
      <c r="AK31" s="55">
        <f t="shared" si="25"/>
      </c>
      <c r="AL31" s="55">
        <f t="shared" si="26"/>
      </c>
      <c r="AN31" s="56">
        <f t="shared" si="27"/>
      </c>
      <c r="AO31" s="53">
        <f t="shared" si="28"/>
      </c>
      <c r="AP31" s="57">
        <f t="shared" si="29"/>
      </c>
      <c r="AQ31" s="58">
        <f t="shared" si="30"/>
      </c>
      <c r="AR31" s="53">
        <f t="shared" si="31"/>
      </c>
      <c r="AS31" s="59">
        <f t="shared" si="32"/>
      </c>
      <c r="AT31" s="53">
        <f t="shared" si="33"/>
      </c>
      <c r="AU31" s="60"/>
      <c r="AV31" s="58">
        <f t="shared" si="34"/>
      </c>
      <c r="AW31" s="37">
        <f t="shared" si="35"/>
      </c>
      <c r="AX31" s="53">
        <f t="shared" si="36"/>
      </c>
      <c r="AY31" s="53">
        <f t="shared" si="37"/>
      </c>
    </row>
    <row r="32" spans="1:51" s="37" customFormat="1" ht="18" customHeight="1">
      <c r="A32" s="61"/>
      <c r="B32" s="62"/>
      <c r="C32" s="62"/>
      <c r="D32" s="1"/>
      <c r="E32" s="1"/>
      <c r="F32" s="2"/>
      <c r="G32" s="14">
        <f t="shared" si="0"/>
      </c>
      <c r="H32" s="64"/>
      <c r="I32" s="14">
        <f t="shared" si="1"/>
      </c>
      <c r="J32" s="15">
        <f t="shared" si="2"/>
      </c>
      <c r="K32" s="16">
        <f t="shared" si="3"/>
      </c>
      <c r="L32" s="47">
        <f t="shared" si="4"/>
      </c>
      <c r="M32" s="16">
        <f t="shared" si="5"/>
      </c>
      <c r="N32" s="14">
        <f t="shared" si="6"/>
      </c>
      <c r="O32" s="14"/>
      <c r="P32" s="16">
        <f t="shared" si="7"/>
        <v>1</v>
      </c>
      <c r="Q32" s="14" t="str">
        <f t="shared" si="8"/>
        <v> </v>
      </c>
      <c r="R32" s="36">
        <f t="shared" si="9"/>
        <v>41.625</v>
      </c>
      <c r="S32" s="16">
        <f t="shared" si="10"/>
      </c>
      <c r="T32" s="16">
        <f t="shared" si="11"/>
      </c>
      <c r="U32" s="14">
        <f t="shared" si="12"/>
      </c>
      <c r="V32" s="37">
        <f t="shared" si="13"/>
        <v>4</v>
      </c>
      <c r="W32" s="14">
        <f t="shared" si="14"/>
      </c>
      <c r="X32" s="14">
        <f t="shared" si="15"/>
      </c>
      <c r="Y32" s="37">
        <f t="shared" si="16"/>
      </c>
      <c r="Z32" s="47">
        <f t="shared" si="17"/>
      </c>
      <c r="AA32" s="37">
        <f t="shared" si="18"/>
        <v>0</v>
      </c>
      <c r="AE32" s="52">
        <f t="shared" si="19"/>
      </c>
      <c r="AF32" s="53">
        <f t="shared" si="20"/>
      </c>
      <c r="AG32" s="54">
        <f t="shared" si="21"/>
      </c>
      <c r="AH32" s="53">
        <f t="shared" si="22"/>
      </c>
      <c r="AI32" s="53">
        <f t="shared" si="23"/>
      </c>
      <c r="AJ32" s="55">
        <f t="shared" si="24"/>
      </c>
      <c r="AK32" s="55">
        <f t="shared" si="25"/>
      </c>
      <c r="AL32" s="55">
        <f t="shared" si="26"/>
      </c>
      <c r="AN32" s="56">
        <f t="shared" si="27"/>
      </c>
      <c r="AO32" s="53">
        <f t="shared" si="28"/>
      </c>
      <c r="AP32" s="57">
        <f t="shared" si="29"/>
      </c>
      <c r="AQ32" s="58">
        <f t="shared" si="30"/>
      </c>
      <c r="AR32" s="53">
        <f t="shared" si="31"/>
      </c>
      <c r="AS32" s="59">
        <f t="shared" si="32"/>
      </c>
      <c r="AT32" s="53">
        <f t="shared" si="33"/>
      </c>
      <c r="AU32" s="60"/>
      <c r="AV32" s="58">
        <f t="shared" si="34"/>
      </c>
      <c r="AW32" s="37">
        <f t="shared" si="35"/>
      </c>
      <c r="AX32" s="53">
        <f t="shared" si="36"/>
      </c>
      <c r="AY32" s="53">
        <f t="shared" si="37"/>
      </c>
    </row>
    <row r="33" spans="1:51" s="37" customFormat="1" ht="18" customHeight="1">
      <c r="A33" s="61"/>
      <c r="B33" s="62"/>
      <c r="C33" s="62"/>
      <c r="D33" s="1"/>
      <c r="E33" s="1"/>
      <c r="F33" s="2"/>
      <c r="G33" s="14">
        <f t="shared" si="0"/>
      </c>
      <c r="H33" s="64"/>
      <c r="I33" s="14">
        <f t="shared" si="1"/>
      </c>
      <c r="J33" s="15">
        <f t="shared" si="2"/>
      </c>
      <c r="K33" s="16">
        <f t="shared" si="3"/>
      </c>
      <c r="L33" s="47">
        <f t="shared" si="4"/>
      </c>
      <c r="M33" s="16">
        <f t="shared" si="5"/>
      </c>
      <c r="N33" s="14">
        <f t="shared" si="6"/>
      </c>
      <c r="O33" s="14"/>
      <c r="P33" s="16">
        <f t="shared" si="7"/>
        <v>1</v>
      </c>
      <c r="Q33" s="14" t="str">
        <f t="shared" si="8"/>
        <v> </v>
      </c>
      <c r="R33" s="36">
        <f t="shared" si="9"/>
        <v>41.625</v>
      </c>
      <c r="S33" s="16">
        <f t="shared" si="10"/>
      </c>
      <c r="T33" s="16">
        <f t="shared" si="11"/>
      </c>
      <c r="U33" s="14">
        <f t="shared" si="12"/>
      </c>
      <c r="V33" s="37">
        <f t="shared" si="13"/>
        <v>4</v>
      </c>
      <c r="W33" s="14">
        <f t="shared" si="14"/>
      </c>
      <c r="X33" s="14">
        <f t="shared" si="15"/>
      </c>
      <c r="Y33" s="37">
        <f t="shared" si="16"/>
      </c>
      <c r="Z33" s="47">
        <f t="shared" si="17"/>
      </c>
      <c r="AA33" s="37">
        <f t="shared" si="18"/>
        <v>0</v>
      </c>
      <c r="AE33" s="52">
        <f t="shared" si="19"/>
      </c>
      <c r="AF33" s="53">
        <f t="shared" si="20"/>
      </c>
      <c r="AG33" s="54">
        <f t="shared" si="21"/>
      </c>
      <c r="AH33" s="53">
        <f t="shared" si="22"/>
      </c>
      <c r="AI33" s="53">
        <f t="shared" si="23"/>
      </c>
      <c r="AJ33" s="55">
        <f t="shared" si="24"/>
      </c>
      <c r="AK33" s="55">
        <f t="shared" si="25"/>
      </c>
      <c r="AL33" s="55">
        <f t="shared" si="26"/>
      </c>
      <c r="AN33" s="56">
        <f t="shared" si="27"/>
      </c>
      <c r="AO33" s="53">
        <f t="shared" si="28"/>
      </c>
      <c r="AP33" s="57">
        <f t="shared" si="29"/>
      </c>
      <c r="AQ33" s="58">
        <f t="shared" si="30"/>
      </c>
      <c r="AR33" s="53">
        <f t="shared" si="31"/>
      </c>
      <c r="AS33" s="59">
        <f t="shared" si="32"/>
      </c>
      <c r="AT33" s="53">
        <f t="shared" si="33"/>
      </c>
      <c r="AU33" s="60"/>
      <c r="AV33" s="58">
        <f t="shared" si="34"/>
      </c>
      <c r="AW33" s="37">
        <f t="shared" si="35"/>
      </c>
      <c r="AX33" s="53">
        <f t="shared" si="36"/>
      </c>
      <c r="AY33" s="53">
        <f t="shared" si="37"/>
      </c>
    </row>
    <row r="34" spans="1:51" s="37" customFormat="1" ht="18" customHeight="1">
      <c r="A34" s="61"/>
      <c r="B34" s="62"/>
      <c r="C34" s="62"/>
      <c r="D34" s="1"/>
      <c r="E34" s="1"/>
      <c r="F34" s="2"/>
      <c r="G34" s="14">
        <f t="shared" si="0"/>
      </c>
      <c r="H34" s="64"/>
      <c r="I34" s="14">
        <f t="shared" si="1"/>
      </c>
      <c r="J34" s="15">
        <f t="shared" si="2"/>
      </c>
      <c r="K34" s="16">
        <f t="shared" si="3"/>
      </c>
      <c r="L34" s="47">
        <f t="shared" si="4"/>
      </c>
      <c r="M34" s="16">
        <f t="shared" si="5"/>
      </c>
      <c r="N34" s="14">
        <f t="shared" si="6"/>
      </c>
      <c r="O34" s="14"/>
      <c r="P34" s="16">
        <f t="shared" si="7"/>
        <v>1</v>
      </c>
      <c r="Q34" s="14" t="str">
        <f t="shared" si="8"/>
        <v> </v>
      </c>
      <c r="R34" s="36">
        <f t="shared" si="9"/>
        <v>41.625</v>
      </c>
      <c r="S34" s="16">
        <f t="shared" si="10"/>
      </c>
      <c r="T34" s="16">
        <f t="shared" si="11"/>
      </c>
      <c r="U34" s="14">
        <f t="shared" si="12"/>
      </c>
      <c r="V34" s="37">
        <f t="shared" si="13"/>
        <v>4</v>
      </c>
      <c r="W34" s="14">
        <f t="shared" si="14"/>
      </c>
      <c r="X34" s="14">
        <f t="shared" si="15"/>
      </c>
      <c r="Y34" s="37">
        <f t="shared" si="16"/>
      </c>
      <c r="Z34" s="47">
        <f t="shared" si="17"/>
      </c>
      <c r="AA34" s="37">
        <f t="shared" si="18"/>
        <v>0</v>
      </c>
      <c r="AE34" s="52">
        <f t="shared" si="19"/>
      </c>
      <c r="AF34" s="53">
        <f t="shared" si="20"/>
      </c>
      <c r="AG34" s="54">
        <f t="shared" si="21"/>
      </c>
      <c r="AH34" s="53">
        <f t="shared" si="22"/>
      </c>
      <c r="AI34" s="53">
        <f t="shared" si="23"/>
      </c>
      <c r="AJ34" s="55">
        <f t="shared" si="24"/>
      </c>
      <c r="AK34" s="55">
        <f t="shared" si="25"/>
      </c>
      <c r="AL34" s="55">
        <f t="shared" si="26"/>
      </c>
      <c r="AN34" s="56">
        <f t="shared" si="27"/>
      </c>
      <c r="AO34" s="53">
        <f t="shared" si="28"/>
      </c>
      <c r="AP34" s="57">
        <f t="shared" si="29"/>
      </c>
      <c r="AQ34" s="58">
        <f t="shared" si="30"/>
      </c>
      <c r="AR34" s="53">
        <f t="shared" si="31"/>
      </c>
      <c r="AS34" s="59">
        <f t="shared" si="32"/>
      </c>
      <c r="AT34" s="53">
        <f t="shared" si="33"/>
      </c>
      <c r="AU34" s="60"/>
      <c r="AV34" s="58">
        <f t="shared" si="34"/>
      </c>
      <c r="AW34" s="37">
        <f t="shared" si="35"/>
      </c>
      <c r="AX34" s="53">
        <f t="shared" si="36"/>
      </c>
      <c r="AY34" s="53">
        <f t="shared" si="37"/>
      </c>
    </row>
    <row r="35" spans="1:51" s="37" customFormat="1" ht="18" customHeight="1">
      <c r="A35" s="61"/>
      <c r="B35" s="62"/>
      <c r="C35" s="62"/>
      <c r="D35" s="1"/>
      <c r="E35" s="1"/>
      <c r="F35" s="2"/>
      <c r="G35" s="14">
        <f t="shared" si="0"/>
      </c>
      <c r="H35" s="64"/>
      <c r="I35" s="14">
        <f t="shared" si="1"/>
      </c>
      <c r="J35" s="15">
        <f t="shared" si="2"/>
      </c>
      <c r="K35" s="16">
        <f t="shared" si="3"/>
      </c>
      <c r="L35" s="47">
        <f t="shared" si="4"/>
      </c>
      <c r="M35" s="16">
        <f t="shared" si="5"/>
      </c>
      <c r="N35" s="14">
        <f t="shared" si="6"/>
      </c>
      <c r="O35" s="14"/>
      <c r="P35" s="16">
        <f t="shared" si="7"/>
        <v>1</v>
      </c>
      <c r="Q35" s="14" t="str">
        <f t="shared" si="8"/>
        <v> </v>
      </c>
      <c r="R35" s="36">
        <f t="shared" si="9"/>
        <v>41.625</v>
      </c>
      <c r="S35" s="16">
        <f t="shared" si="10"/>
      </c>
      <c r="T35" s="16">
        <f t="shared" si="11"/>
      </c>
      <c r="U35" s="14">
        <f t="shared" si="12"/>
      </c>
      <c r="V35" s="37">
        <f t="shared" si="13"/>
        <v>4</v>
      </c>
      <c r="W35" s="14">
        <f t="shared" si="14"/>
      </c>
      <c r="X35" s="14">
        <f t="shared" si="15"/>
      </c>
      <c r="Y35" s="37">
        <f t="shared" si="16"/>
      </c>
      <c r="Z35" s="47">
        <f t="shared" si="17"/>
      </c>
      <c r="AA35" s="37">
        <f t="shared" si="18"/>
        <v>0</v>
      </c>
      <c r="AE35" s="52">
        <f t="shared" si="19"/>
      </c>
      <c r="AF35" s="53">
        <f t="shared" si="20"/>
      </c>
      <c r="AG35" s="54">
        <f t="shared" si="21"/>
      </c>
      <c r="AH35" s="53">
        <f t="shared" si="22"/>
      </c>
      <c r="AI35" s="53">
        <f t="shared" si="23"/>
      </c>
      <c r="AJ35" s="55">
        <f t="shared" si="24"/>
      </c>
      <c r="AK35" s="55">
        <f t="shared" si="25"/>
      </c>
      <c r="AL35" s="55">
        <f t="shared" si="26"/>
      </c>
      <c r="AN35" s="56">
        <f t="shared" si="27"/>
      </c>
      <c r="AO35" s="53">
        <f t="shared" si="28"/>
      </c>
      <c r="AP35" s="57">
        <f t="shared" si="29"/>
      </c>
      <c r="AQ35" s="58">
        <f t="shared" si="30"/>
      </c>
      <c r="AR35" s="53">
        <f t="shared" si="31"/>
      </c>
      <c r="AS35" s="59">
        <f t="shared" si="32"/>
      </c>
      <c r="AT35" s="53">
        <f t="shared" si="33"/>
      </c>
      <c r="AU35" s="60"/>
      <c r="AV35" s="58">
        <f t="shared" si="34"/>
      </c>
      <c r="AW35" s="37">
        <f t="shared" si="35"/>
      </c>
      <c r="AX35" s="53">
        <f t="shared" si="36"/>
      </c>
      <c r="AY35" s="53">
        <f t="shared" si="37"/>
      </c>
    </row>
    <row r="36" spans="1:51" s="37" customFormat="1" ht="18" customHeight="1">
      <c r="A36" s="61"/>
      <c r="B36" s="62"/>
      <c r="C36" s="62"/>
      <c r="D36" s="1"/>
      <c r="E36" s="1"/>
      <c r="F36" s="2"/>
      <c r="G36" s="14">
        <f t="shared" si="0"/>
      </c>
      <c r="H36" s="64"/>
      <c r="I36" s="14">
        <f t="shared" si="1"/>
      </c>
      <c r="J36" s="15">
        <f t="shared" si="2"/>
      </c>
      <c r="K36" s="16">
        <f t="shared" si="3"/>
      </c>
      <c r="L36" s="47">
        <f t="shared" si="4"/>
      </c>
      <c r="M36" s="16">
        <f t="shared" si="5"/>
      </c>
      <c r="N36" s="14">
        <f t="shared" si="6"/>
      </c>
      <c r="O36" s="14"/>
      <c r="P36" s="16">
        <f t="shared" si="7"/>
        <v>1</v>
      </c>
      <c r="Q36" s="14" t="str">
        <f t="shared" si="8"/>
        <v> </v>
      </c>
      <c r="R36" s="36">
        <f t="shared" si="9"/>
        <v>41.625</v>
      </c>
      <c r="S36" s="16">
        <f t="shared" si="10"/>
      </c>
      <c r="T36" s="16">
        <f t="shared" si="11"/>
      </c>
      <c r="U36" s="14">
        <f t="shared" si="12"/>
      </c>
      <c r="V36" s="37">
        <f t="shared" si="13"/>
        <v>4</v>
      </c>
      <c r="W36" s="14">
        <f t="shared" si="14"/>
      </c>
      <c r="X36" s="14">
        <f t="shared" si="15"/>
      </c>
      <c r="Y36" s="37">
        <f t="shared" si="16"/>
      </c>
      <c r="Z36" s="47">
        <f t="shared" si="17"/>
      </c>
      <c r="AA36" s="37">
        <f t="shared" si="18"/>
        <v>0</v>
      </c>
      <c r="AE36" s="52">
        <f t="shared" si="19"/>
      </c>
      <c r="AF36" s="53">
        <f t="shared" si="20"/>
      </c>
      <c r="AG36" s="54">
        <f t="shared" si="21"/>
      </c>
      <c r="AH36" s="53">
        <f t="shared" si="22"/>
      </c>
      <c r="AI36" s="53">
        <f t="shared" si="23"/>
      </c>
      <c r="AJ36" s="55">
        <f t="shared" si="24"/>
      </c>
      <c r="AK36" s="55">
        <f t="shared" si="25"/>
      </c>
      <c r="AL36" s="55">
        <f t="shared" si="26"/>
      </c>
      <c r="AN36" s="56">
        <f t="shared" si="27"/>
      </c>
      <c r="AO36" s="53">
        <f t="shared" si="28"/>
      </c>
      <c r="AP36" s="57">
        <f t="shared" si="29"/>
      </c>
      <c r="AQ36" s="58">
        <f t="shared" si="30"/>
      </c>
      <c r="AR36" s="53">
        <f t="shared" si="31"/>
      </c>
      <c r="AS36" s="59">
        <f t="shared" si="32"/>
      </c>
      <c r="AT36" s="53">
        <f t="shared" si="33"/>
      </c>
      <c r="AU36" s="60"/>
      <c r="AV36" s="58">
        <f t="shared" si="34"/>
      </c>
      <c r="AW36" s="37">
        <f t="shared" si="35"/>
      </c>
      <c r="AX36" s="53">
        <f t="shared" si="36"/>
      </c>
      <c r="AY36" s="53">
        <f t="shared" si="37"/>
      </c>
    </row>
    <row r="37" spans="1:51" s="37" customFormat="1" ht="18" customHeight="1">
      <c r="A37" s="61"/>
      <c r="B37" s="62"/>
      <c r="C37" s="62"/>
      <c r="D37" s="1"/>
      <c r="E37" s="1"/>
      <c r="F37" s="2"/>
      <c r="G37" s="14">
        <f t="shared" si="0"/>
      </c>
      <c r="H37" s="64"/>
      <c r="I37" s="14">
        <f t="shared" si="1"/>
      </c>
      <c r="J37" s="15">
        <f t="shared" si="2"/>
      </c>
      <c r="K37" s="16">
        <f t="shared" si="3"/>
      </c>
      <c r="L37" s="47">
        <f t="shared" si="4"/>
      </c>
      <c r="M37" s="16">
        <f t="shared" si="5"/>
      </c>
      <c r="N37" s="14">
        <f t="shared" si="6"/>
      </c>
      <c r="O37" s="14"/>
      <c r="P37" s="16">
        <f t="shared" si="7"/>
        <v>1</v>
      </c>
      <c r="Q37" s="14" t="str">
        <f t="shared" si="8"/>
        <v> </v>
      </c>
      <c r="R37" s="36">
        <f t="shared" si="9"/>
        <v>41.625</v>
      </c>
      <c r="S37" s="16">
        <f t="shared" si="10"/>
      </c>
      <c r="T37" s="16">
        <f t="shared" si="11"/>
      </c>
      <c r="U37" s="14">
        <f t="shared" si="12"/>
      </c>
      <c r="V37" s="37">
        <f t="shared" si="13"/>
        <v>4</v>
      </c>
      <c r="W37" s="14">
        <f t="shared" si="14"/>
      </c>
      <c r="X37" s="14">
        <f t="shared" si="15"/>
      </c>
      <c r="Y37" s="37">
        <f t="shared" si="16"/>
      </c>
      <c r="Z37" s="47">
        <f t="shared" si="17"/>
      </c>
      <c r="AA37" s="37">
        <f t="shared" si="18"/>
        <v>0</v>
      </c>
      <c r="AE37" s="52">
        <f t="shared" si="19"/>
      </c>
      <c r="AF37" s="53">
        <f t="shared" si="20"/>
      </c>
      <c r="AG37" s="54">
        <f t="shared" si="21"/>
      </c>
      <c r="AH37" s="53">
        <f t="shared" si="22"/>
      </c>
      <c r="AI37" s="53">
        <f t="shared" si="23"/>
      </c>
      <c r="AJ37" s="55">
        <f t="shared" si="24"/>
      </c>
      <c r="AK37" s="55">
        <f t="shared" si="25"/>
      </c>
      <c r="AL37" s="55">
        <f t="shared" si="26"/>
      </c>
      <c r="AN37" s="56">
        <f t="shared" si="27"/>
      </c>
      <c r="AO37" s="53">
        <f t="shared" si="28"/>
      </c>
      <c r="AP37" s="57">
        <f t="shared" si="29"/>
      </c>
      <c r="AQ37" s="58">
        <f t="shared" si="30"/>
      </c>
      <c r="AR37" s="53">
        <f t="shared" si="31"/>
      </c>
      <c r="AS37" s="59">
        <f t="shared" si="32"/>
      </c>
      <c r="AT37" s="53">
        <f t="shared" si="33"/>
      </c>
      <c r="AU37" s="60"/>
      <c r="AV37" s="58">
        <f t="shared" si="34"/>
      </c>
      <c r="AW37" s="37">
        <f t="shared" si="35"/>
      </c>
      <c r="AX37" s="53">
        <f t="shared" si="36"/>
      </c>
      <c r="AY37" s="53">
        <f t="shared" si="37"/>
      </c>
    </row>
    <row r="38" spans="1:51" s="37" customFormat="1" ht="18" customHeight="1">
      <c r="A38" s="50"/>
      <c r="B38" s="51"/>
      <c r="C38" s="51"/>
      <c r="D38" s="1"/>
      <c r="E38" s="1"/>
      <c r="F38" s="2"/>
      <c r="G38" s="14">
        <f t="shared" si="0"/>
      </c>
      <c r="H38" s="64"/>
      <c r="I38" s="14">
        <f t="shared" si="1"/>
      </c>
      <c r="J38" s="15">
        <f t="shared" si="2"/>
      </c>
      <c r="K38" s="16">
        <f t="shared" si="3"/>
      </c>
      <c r="L38" s="47">
        <f t="shared" si="4"/>
      </c>
      <c r="M38" s="16">
        <f t="shared" si="5"/>
      </c>
      <c r="N38" s="14">
        <f t="shared" si="6"/>
      </c>
      <c r="O38" s="14"/>
      <c r="P38" s="16">
        <f t="shared" si="7"/>
        <v>1</v>
      </c>
      <c r="Q38" s="14" t="str">
        <f t="shared" si="8"/>
        <v> </v>
      </c>
      <c r="R38" s="36">
        <f t="shared" si="9"/>
        <v>41.625</v>
      </c>
      <c r="S38" s="16">
        <f t="shared" si="10"/>
      </c>
      <c r="T38" s="16">
        <f t="shared" si="11"/>
      </c>
      <c r="U38" s="14">
        <f t="shared" si="12"/>
      </c>
      <c r="V38" s="37">
        <f t="shared" si="13"/>
        <v>4</v>
      </c>
      <c r="W38" s="14">
        <f t="shared" si="14"/>
      </c>
      <c r="X38" s="14">
        <f t="shared" si="15"/>
      </c>
      <c r="Y38" s="37">
        <f t="shared" si="16"/>
      </c>
      <c r="Z38" s="47">
        <f t="shared" si="17"/>
      </c>
      <c r="AA38" s="37">
        <f t="shared" si="18"/>
        <v>0</v>
      </c>
      <c r="AE38" s="52">
        <f t="shared" si="19"/>
      </c>
      <c r="AF38" s="53">
        <f t="shared" si="20"/>
      </c>
      <c r="AG38" s="54">
        <f t="shared" si="21"/>
      </c>
      <c r="AH38" s="53">
        <f t="shared" si="22"/>
      </c>
      <c r="AI38" s="53">
        <f t="shared" si="23"/>
      </c>
      <c r="AJ38" s="55">
        <f t="shared" si="24"/>
      </c>
      <c r="AK38" s="55">
        <f t="shared" si="25"/>
      </c>
      <c r="AL38" s="55">
        <f t="shared" si="26"/>
      </c>
      <c r="AN38" s="56">
        <f t="shared" si="27"/>
      </c>
      <c r="AO38" s="53">
        <f t="shared" si="28"/>
      </c>
      <c r="AP38" s="57">
        <f t="shared" si="29"/>
      </c>
      <c r="AQ38" s="58">
        <f t="shared" si="30"/>
      </c>
      <c r="AR38" s="53">
        <f t="shared" si="31"/>
      </c>
      <c r="AS38" s="59">
        <f t="shared" si="32"/>
      </c>
      <c r="AT38" s="53">
        <f t="shared" si="33"/>
      </c>
      <c r="AU38" s="60"/>
      <c r="AV38" s="58">
        <f t="shared" si="34"/>
      </c>
      <c r="AW38" s="37">
        <f t="shared" si="35"/>
      </c>
      <c r="AX38" s="53">
        <f t="shared" si="36"/>
      </c>
      <c r="AY38" s="53">
        <f t="shared" si="37"/>
      </c>
    </row>
    <row r="39" spans="1:51" s="37" customFormat="1" ht="18" customHeight="1">
      <c r="A39" s="44"/>
      <c r="B39" s="45"/>
      <c r="C39" s="45"/>
      <c r="D39" s="46"/>
      <c r="E39" s="1"/>
      <c r="F39" s="2"/>
      <c r="G39" s="14">
        <f t="shared" si="0"/>
      </c>
      <c r="H39" s="64"/>
      <c r="I39" s="14">
        <f t="shared" si="1"/>
      </c>
      <c r="J39" s="15">
        <f t="shared" si="2"/>
      </c>
      <c r="K39" s="16">
        <f t="shared" si="3"/>
      </c>
      <c r="L39" s="47">
        <f t="shared" si="4"/>
      </c>
      <c r="M39" s="16">
        <f t="shared" si="5"/>
      </c>
      <c r="N39" s="14">
        <f t="shared" si="6"/>
      </c>
      <c r="O39" s="14"/>
      <c r="P39" s="16">
        <f t="shared" si="7"/>
        <v>1</v>
      </c>
      <c r="Q39" s="14" t="str">
        <f t="shared" si="8"/>
        <v> </v>
      </c>
      <c r="R39" s="36">
        <f t="shared" si="9"/>
        <v>41.625</v>
      </c>
      <c r="S39" s="16">
        <f t="shared" si="10"/>
      </c>
      <c r="T39" s="16">
        <f t="shared" si="11"/>
      </c>
      <c r="U39" s="14">
        <f t="shared" si="12"/>
      </c>
      <c r="V39" s="37">
        <f t="shared" si="13"/>
        <v>4</v>
      </c>
      <c r="W39" s="14">
        <f t="shared" si="14"/>
      </c>
      <c r="X39" s="14">
        <f t="shared" si="15"/>
      </c>
      <c r="Y39" s="37">
        <f t="shared" si="16"/>
      </c>
      <c r="Z39" s="47">
        <f t="shared" si="17"/>
      </c>
      <c r="AA39" s="37">
        <f t="shared" si="18"/>
        <v>0</v>
      </c>
      <c r="AE39" s="52">
        <f t="shared" si="19"/>
      </c>
      <c r="AF39" s="53">
        <f t="shared" si="20"/>
      </c>
      <c r="AG39" s="54">
        <f t="shared" si="21"/>
      </c>
      <c r="AH39" s="53">
        <f t="shared" si="22"/>
      </c>
      <c r="AI39" s="53">
        <f t="shared" si="23"/>
      </c>
      <c r="AJ39" s="55">
        <f t="shared" si="24"/>
      </c>
      <c r="AK39" s="55">
        <f t="shared" si="25"/>
      </c>
      <c r="AL39" s="55">
        <f t="shared" si="26"/>
      </c>
      <c r="AN39" s="56">
        <f t="shared" si="27"/>
      </c>
      <c r="AO39" s="53">
        <f t="shared" si="28"/>
      </c>
      <c r="AP39" s="57">
        <f t="shared" si="29"/>
      </c>
      <c r="AQ39" s="58">
        <f t="shared" si="30"/>
      </c>
      <c r="AR39" s="53">
        <f t="shared" si="31"/>
      </c>
      <c r="AS39" s="59">
        <f t="shared" si="32"/>
      </c>
      <c r="AT39" s="53">
        <f t="shared" si="33"/>
      </c>
      <c r="AU39" s="60"/>
      <c r="AV39" s="58">
        <f t="shared" si="34"/>
      </c>
      <c r="AW39" s="37">
        <f t="shared" si="35"/>
      </c>
      <c r="AX39" s="53">
        <f t="shared" si="36"/>
      </c>
      <c r="AY39" s="53">
        <f t="shared" si="37"/>
      </c>
    </row>
    <row r="40" spans="1:51" s="37" customFormat="1" ht="18" customHeight="1">
      <c r="A40" s="44"/>
      <c r="B40" s="45"/>
      <c r="C40" s="45"/>
      <c r="D40" s="46"/>
      <c r="E40" s="1"/>
      <c r="F40" s="2"/>
      <c r="G40" s="14">
        <f t="shared" si="0"/>
      </c>
      <c r="H40" s="64"/>
      <c r="I40" s="14">
        <f t="shared" si="1"/>
      </c>
      <c r="J40" s="15">
        <f t="shared" si="2"/>
      </c>
      <c r="K40" s="16">
        <f t="shared" si="3"/>
      </c>
      <c r="L40" s="47">
        <f t="shared" si="4"/>
      </c>
      <c r="M40" s="16">
        <f t="shared" si="5"/>
      </c>
      <c r="N40" s="14">
        <f t="shared" si="6"/>
      </c>
      <c r="O40" s="14"/>
      <c r="P40" s="16">
        <f t="shared" si="7"/>
        <v>1</v>
      </c>
      <c r="Q40" s="14" t="str">
        <f t="shared" si="8"/>
        <v> </v>
      </c>
      <c r="R40" s="36">
        <f t="shared" si="9"/>
        <v>41.625</v>
      </c>
      <c r="S40" s="16">
        <f t="shared" si="10"/>
      </c>
      <c r="T40" s="16">
        <f t="shared" si="11"/>
      </c>
      <c r="U40" s="14">
        <f t="shared" si="12"/>
      </c>
      <c r="V40" s="37">
        <f t="shared" si="13"/>
        <v>4</v>
      </c>
      <c r="W40" s="14">
        <f t="shared" si="14"/>
      </c>
      <c r="X40" s="14">
        <f t="shared" si="15"/>
      </c>
      <c r="Y40" s="37">
        <f t="shared" si="16"/>
      </c>
      <c r="Z40" s="47">
        <f t="shared" si="17"/>
      </c>
      <c r="AA40" s="37">
        <f t="shared" si="18"/>
        <v>0</v>
      </c>
      <c r="AE40" s="52">
        <f t="shared" si="19"/>
      </c>
      <c r="AF40" s="53">
        <f t="shared" si="20"/>
      </c>
      <c r="AG40" s="54">
        <f t="shared" si="21"/>
      </c>
      <c r="AH40" s="53">
        <f t="shared" si="22"/>
      </c>
      <c r="AI40" s="53">
        <f t="shared" si="23"/>
      </c>
      <c r="AJ40" s="55">
        <f t="shared" si="24"/>
      </c>
      <c r="AK40" s="55">
        <f t="shared" si="25"/>
      </c>
      <c r="AL40" s="55">
        <f t="shared" si="26"/>
      </c>
      <c r="AN40" s="56">
        <f t="shared" si="27"/>
      </c>
      <c r="AO40" s="53">
        <f t="shared" si="28"/>
      </c>
      <c r="AP40" s="57">
        <f t="shared" si="29"/>
      </c>
      <c r="AQ40" s="58">
        <f t="shared" si="30"/>
      </c>
      <c r="AR40" s="53">
        <f t="shared" si="31"/>
      </c>
      <c r="AS40" s="59">
        <f t="shared" si="32"/>
      </c>
      <c r="AT40" s="53">
        <f t="shared" si="33"/>
      </c>
      <c r="AU40" s="60"/>
      <c r="AV40" s="58">
        <f t="shared" si="34"/>
      </c>
      <c r="AW40" s="37">
        <f t="shared" si="35"/>
      </c>
      <c r="AX40" s="53">
        <f t="shared" si="36"/>
      </c>
      <c r="AY40" s="53">
        <f t="shared" si="37"/>
      </c>
    </row>
    <row r="41" spans="1:51" s="37" customFormat="1" ht="18" customHeight="1">
      <c r="A41" s="44"/>
      <c r="B41" s="45"/>
      <c r="C41" s="45"/>
      <c r="D41" s="46"/>
      <c r="E41" s="1"/>
      <c r="F41" s="2"/>
      <c r="G41" s="14">
        <f t="shared" si="0"/>
      </c>
      <c r="H41" s="64"/>
      <c r="I41" s="14">
        <f t="shared" si="1"/>
      </c>
      <c r="J41" s="15">
        <f t="shared" si="2"/>
      </c>
      <c r="K41" s="16">
        <f t="shared" si="3"/>
      </c>
      <c r="L41" s="47">
        <f t="shared" si="4"/>
      </c>
      <c r="M41" s="16">
        <f t="shared" si="5"/>
      </c>
      <c r="N41" s="14">
        <f t="shared" si="6"/>
      </c>
      <c r="O41" s="14"/>
      <c r="P41" s="16">
        <f t="shared" si="7"/>
        <v>1</v>
      </c>
      <c r="Q41" s="14" t="str">
        <f t="shared" si="8"/>
        <v> </v>
      </c>
      <c r="R41" s="36">
        <f t="shared" si="9"/>
        <v>41.625</v>
      </c>
      <c r="S41" s="16">
        <f t="shared" si="10"/>
      </c>
      <c r="T41" s="16">
        <f t="shared" si="11"/>
      </c>
      <c r="U41" s="14">
        <f t="shared" si="12"/>
      </c>
      <c r="V41" s="37">
        <f t="shared" si="13"/>
        <v>4</v>
      </c>
      <c r="W41" s="14">
        <f t="shared" si="14"/>
      </c>
      <c r="X41" s="14">
        <f t="shared" si="15"/>
      </c>
      <c r="Y41" s="37">
        <f t="shared" si="16"/>
      </c>
      <c r="Z41" s="47">
        <f t="shared" si="17"/>
      </c>
      <c r="AA41" s="37">
        <f t="shared" si="18"/>
        <v>0</v>
      </c>
      <c r="AE41" s="52">
        <f t="shared" si="19"/>
      </c>
      <c r="AF41" s="53">
        <f t="shared" si="20"/>
      </c>
      <c r="AG41" s="54">
        <f t="shared" si="21"/>
      </c>
      <c r="AH41" s="53">
        <f t="shared" si="22"/>
      </c>
      <c r="AI41" s="53">
        <f t="shared" si="23"/>
      </c>
      <c r="AJ41" s="55">
        <f t="shared" si="24"/>
      </c>
      <c r="AK41" s="55">
        <f t="shared" si="25"/>
      </c>
      <c r="AL41" s="55">
        <f t="shared" si="26"/>
      </c>
      <c r="AN41" s="56">
        <f t="shared" si="27"/>
      </c>
      <c r="AO41" s="53">
        <f t="shared" si="28"/>
      </c>
      <c r="AP41" s="57">
        <f t="shared" si="29"/>
      </c>
      <c r="AQ41" s="58">
        <f t="shared" si="30"/>
      </c>
      <c r="AR41" s="53">
        <f t="shared" si="31"/>
      </c>
      <c r="AS41" s="59">
        <f t="shared" si="32"/>
      </c>
      <c r="AT41" s="53">
        <f t="shared" si="33"/>
      </c>
      <c r="AU41" s="60"/>
      <c r="AV41" s="58">
        <f t="shared" si="34"/>
      </c>
      <c r="AW41" s="37">
        <f t="shared" si="35"/>
      </c>
      <c r="AX41" s="53">
        <f t="shared" si="36"/>
      </c>
      <c r="AY41" s="53">
        <f t="shared" si="37"/>
      </c>
    </row>
    <row r="42" spans="1:51" s="37" customFormat="1" ht="18" customHeight="1">
      <c r="A42" s="44"/>
      <c r="B42" s="45"/>
      <c r="C42" s="45"/>
      <c r="D42" s="46"/>
      <c r="E42" s="1"/>
      <c r="F42" s="2"/>
      <c r="G42" s="14">
        <f t="shared" si="0"/>
      </c>
      <c r="H42" s="64"/>
      <c r="I42" s="14">
        <f t="shared" si="1"/>
      </c>
      <c r="J42" s="15">
        <f t="shared" si="2"/>
      </c>
      <c r="K42" s="16">
        <f t="shared" si="3"/>
      </c>
      <c r="L42" s="47">
        <f t="shared" si="4"/>
      </c>
      <c r="M42" s="16">
        <f t="shared" si="5"/>
      </c>
      <c r="N42" s="14">
        <f t="shared" si="6"/>
      </c>
      <c r="O42" s="14"/>
      <c r="P42" s="16">
        <f t="shared" si="7"/>
        <v>1</v>
      </c>
      <c r="Q42" s="14" t="str">
        <f t="shared" si="8"/>
        <v> </v>
      </c>
      <c r="R42" s="36">
        <f t="shared" si="9"/>
        <v>41.625</v>
      </c>
      <c r="S42" s="16">
        <f t="shared" si="10"/>
      </c>
      <c r="T42" s="16">
        <f t="shared" si="11"/>
      </c>
      <c r="U42" s="14">
        <f t="shared" si="12"/>
      </c>
      <c r="V42" s="37">
        <f t="shared" si="13"/>
        <v>4</v>
      </c>
      <c r="W42" s="14">
        <f t="shared" si="14"/>
      </c>
      <c r="X42" s="14">
        <f t="shared" si="15"/>
      </c>
      <c r="Y42" s="37">
        <f t="shared" si="16"/>
      </c>
      <c r="Z42" s="47">
        <f t="shared" si="17"/>
      </c>
      <c r="AA42" s="37">
        <f t="shared" si="18"/>
        <v>0</v>
      </c>
      <c r="AE42" s="52">
        <f t="shared" si="19"/>
      </c>
      <c r="AF42" s="53">
        <f t="shared" si="20"/>
      </c>
      <c r="AG42" s="54">
        <f t="shared" si="21"/>
      </c>
      <c r="AH42" s="53">
        <f t="shared" si="22"/>
      </c>
      <c r="AI42" s="53">
        <f t="shared" si="23"/>
      </c>
      <c r="AJ42" s="55">
        <f t="shared" si="24"/>
      </c>
      <c r="AK42" s="55">
        <f t="shared" si="25"/>
      </c>
      <c r="AL42" s="55">
        <f t="shared" si="26"/>
      </c>
      <c r="AN42" s="56">
        <f t="shared" si="27"/>
      </c>
      <c r="AO42" s="53">
        <f t="shared" si="28"/>
      </c>
      <c r="AP42" s="57">
        <f t="shared" si="29"/>
      </c>
      <c r="AQ42" s="58">
        <f t="shared" si="30"/>
      </c>
      <c r="AR42" s="53">
        <f t="shared" si="31"/>
      </c>
      <c r="AS42" s="59">
        <f t="shared" si="32"/>
      </c>
      <c r="AT42" s="53">
        <f t="shared" si="33"/>
      </c>
      <c r="AU42" s="60"/>
      <c r="AV42" s="58">
        <f t="shared" si="34"/>
      </c>
      <c r="AW42" s="37">
        <f t="shared" si="35"/>
      </c>
      <c r="AX42" s="53">
        <f t="shared" si="36"/>
      </c>
      <c r="AY42" s="53">
        <f t="shared" si="37"/>
      </c>
    </row>
    <row r="43" spans="1:51" s="37" customFormat="1" ht="18" customHeight="1">
      <c r="A43" s="44"/>
      <c r="B43" s="45"/>
      <c r="C43" s="45"/>
      <c r="D43" s="46"/>
      <c r="E43" s="1"/>
      <c r="F43" s="2"/>
      <c r="G43" s="14">
        <f t="shared" si="0"/>
      </c>
      <c r="H43" s="64"/>
      <c r="I43" s="14">
        <f t="shared" si="1"/>
      </c>
      <c r="J43" s="15">
        <f t="shared" si="2"/>
      </c>
      <c r="K43" s="16">
        <f t="shared" si="3"/>
      </c>
      <c r="L43" s="47">
        <f t="shared" si="4"/>
      </c>
      <c r="M43" s="16">
        <f t="shared" si="5"/>
      </c>
      <c r="N43" s="14">
        <f t="shared" si="6"/>
      </c>
      <c r="O43" s="14"/>
      <c r="P43" s="16">
        <f t="shared" si="7"/>
        <v>1</v>
      </c>
      <c r="Q43" s="14" t="str">
        <f t="shared" si="8"/>
        <v> </v>
      </c>
      <c r="R43" s="36">
        <f t="shared" si="9"/>
        <v>41.625</v>
      </c>
      <c r="S43" s="16">
        <f t="shared" si="10"/>
      </c>
      <c r="T43" s="16">
        <f t="shared" si="11"/>
      </c>
      <c r="U43" s="14">
        <f t="shared" si="12"/>
      </c>
      <c r="V43" s="37">
        <f t="shared" si="13"/>
        <v>4</v>
      </c>
      <c r="W43" s="14">
        <f t="shared" si="14"/>
      </c>
      <c r="X43" s="14">
        <f t="shared" si="15"/>
      </c>
      <c r="Y43" s="37">
        <f t="shared" si="16"/>
      </c>
      <c r="Z43" s="47">
        <f t="shared" si="17"/>
      </c>
      <c r="AA43" s="37">
        <f t="shared" si="18"/>
        <v>0</v>
      </c>
      <c r="AE43" s="52">
        <f t="shared" si="19"/>
      </c>
      <c r="AF43" s="53">
        <f t="shared" si="20"/>
      </c>
      <c r="AG43" s="54">
        <f t="shared" si="21"/>
      </c>
      <c r="AH43" s="53">
        <f t="shared" si="22"/>
      </c>
      <c r="AI43" s="53">
        <f t="shared" si="23"/>
      </c>
      <c r="AJ43" s="55">
        <f t="shared" si="24"/>
      </c>
      <c r="AK43" s="55">
        <f t="shared" si="25"/>
      </c>
      <c r="AL43" s="55">
        <f t="shared" si="26"/>
      </c>
      <c r="AN43" s="56">
        <f t="shared" si="27"/>
      </c>
      <c r="AO43" s="53">
        <f t="shared" si="28"/>
      </c>
      <c r="AP43" s="57">
        <f t="shared" si="29"/>
      </c>
      <c r="AQ43" s="58">
        <f t="shared" si="30"/>
      </c>
      <c r="AR43" s="53">
        <f t="shared" si="31"/>
      </c>
      <c r="AS43" s="59">
        <f t="shared" si="32"/>
      </c>
      <c r="AT43" s="53">
        <f t="shared" si="33"/>
      </c>
      <c r="AU43" s="60"/>
      <c r="AV43" s="58">
        <f t="shared" si="34"/>
      </c>
      <c r="AW43" s="37">
        <f t="shared" si="35"/>
      </c>
      <c r="AX43" s="53">
        <f t="shared" si="36"/>
      </c>
      <c r="AY43" s="53">
        <f t="shared" si="37"/>
      </c>
    </row>
    <row r="44" spans="1:51" s="37" customFormat="1" ht="18" customHeight="1">
      <c r="A44" s="44"/>
      <c r="B44" s="45"/>
      <c r="C44" s="45"/>
      <c r="D44" s="46"/>
      <c r="E44" s="1"/>
      <c r="F44" s="2"/>
      <c r="G44" s="14">
        <f t="shared" si="0"/>
      </c>
      <c r="H44" s="64"/>
      <c r="I44" s="14">
        <f t="shared" si="1"/>
      </c>
      <c r="J44" s="15">
        <f t="shared" si="2"/>
      </c>
      <c r="K44" s="16">
        <f t="shared" si="3"/>
      </c>
      <c r="L44" s="47">
        <f t="shared" si="4"/>
      </c>
      <c r="M44" s="16">
        <f t="shared" si="5"/>
      </c>
      <c r="N44" s="14">
        <f t="shared" si="6"/>
      </c>
      <c r="O44" s="14"/>
      <c r="P44" s="16">
        <f t="shared" si="7"/>
        <v>1</v>
      </c>
      <c r="Q44" s="14" t="str">
        <f t="shared" si="8"/>
        <v> </v>
      </c>
      <c r="R44" s="36">
        <f t="shared" si="9"/>
        <v>41.625</v>
      </c>
      <c r="S44" s="16">
        <f t="shared" si="10"/>
      </c>
      <c r="T44" s="16">
        <f t="shared" si="11"/>
      </c>
      <c r="U44" s="14">
        <f t="shared" si="12"/>
      </c>
      <c r="V44" s="37">
        <f t="shared" si="13"/>
        <v>4</v>
      </c>
      <c r="W44" s="14">
        <f t="shared" si="14"/>
      </c>
      <c r="X44" s="14">
        <f t="shared" si="15"/>
      </c>
      <c r="Y44" s="37">
        <f t="shared" si="16"/>
      </c>
      <c r="Z44" s="47">
        <f t="shared" si="17"/>
      </c>
      <c r="AA44" s="37">
        <f t="shared" si="18"/>
        <v>0</v>
      </c>
      <c r="AE44" s="52">
        <f t="shared" si="19"/>
      </c>
      <c r="AF44" s="53">
        <f t="shared" si="20"/>
      </c>
      <c r="AG44" s="54">
        <f t="shared" si="21"/>
      </c>
      <c r="AH44" s="53">
        <f t="shared" si="22"/>
      </c>
      <c r="AI44" s="53">
        <f t="shared" si="23"/>
      </c>
      <c r="AJ44" s="55">
        <f t="shared" si="24"/>
      </c>
      <c r="AK44" s="55">
        <f t="shared" si="25"/>
      </c>
      <c r="AL44" s="55">
        <f t="shared" si="26"/>
      </c>
      <c r="AN44" s="56">
        <f t="shared" si="27"/>
      </c>
      <c r="AO44" s="53">
        <f t="shared" si="28"/>
      </c>
      <c r="AP44" s="57">
        <f t="shared" si="29"/>
      </c>
      <c r="AQ44" s="58">
        <f t="shared" si="30"/>
      </c>
      <c r="AR44" s="53">
        <f t="shared" si="31"/>
      </c>
      <c r="AS44" s="59">
        <f t="shared" si="32"/>
      </c>
      <c r="AT44" s="53">
        <f t="shared" si="33"/>
      </c>
      <c r="AU44" s="60"/>
      <c r="AV44" s="58">
        <f t="shared" si="34"/>
      </c>
      <c r="AW44" s="37">
        <f t="shared" si="35"/>
      </c>
      <c r="AX44" s="53">
        <f t="shared" si="36"/>
      </c>
      <c r="AY44" s="53">
        <f t="shared" si="37"/>
      </c>
    </row>
    <row r="45" spans="1:51" s="37" customFormat="1" ht="18" customHeight="1">
      <c r="A45" s="44"/>
      <c r="B45" s="45"/>
      <c r="C45" s="45"/>
      <c r="D45" s="46"/>
      <c r="E45" s="1"/>
      <c r="F45" s="2"/>
      <c r="G45" s="14">
        <f t="shared" si="0"/>
      </c>
      <c r="H45" s="64"/>
      <c r="I45" s="14">
        <f t="shared" si="1"/>
      </c>
      <c r="J45" s="15">
        <f t="shared" si="2"/>
      </c>
      <c r="K45" s="16">
        <f t="shared" si="3"/>
      </c>
      <c r="L45" s="47">
        <f t="shared" si="4"/>
      </c>
      <c r="M45" s="16">
        <f t="shared" si="5"/>
      </c>
      <c r="N45" s="14">
        <f t="shared" si="6"/>
      </c>
      <c r="O45" s="14"/>
      <c r="P45" s="16">
        <f t="shared" si="7"/>
        <v>1</v>
      </c>
      <c r="Q45" s="14" t="str">
        <f t="shared" si="8"/>
        <v> </v>
      </c>
      <c r="R45" s="36">
        <f t="shared" si="9"/>
        <v>41.625</v>
      </c>
      <c r="S45" s="16">
        <f t="shared" si="10"/>
      </c>
      <c r="T45" s="16">
        <f t="shared" si="11"/>
      </c>
      <c r="U45" s="14">
        <f t="shared" si="12"/>
      </c>
      <c r="V45" s="37">
        <f t="shared" si="13"/>
        <v>4</v>
      </c>
      <c r="W45" s="14">
        <f t="shared" si="14"/>
      </c>
      <c r="X45" s="14">
        <f t="shared" si="15"/>
      </c>
      <c r="Y45" s="37">
        <f t="shared" si="16"/>
      </c>
      <c r="Z45" s="47">
        <f t="shared" si="17"/>
      </c>
      <c r="AA45" s="37">
        <f t="shared" si="18"/>
        <v>0</v>
      </c>
      <c r="AE45" s="52">
        <f t="shared" si="19"/>
      </c>
      <c r="AF45" s="53">
        <f t="shared" si="20"/>
      </c>
      <c r="AG45" s="54">
        <f t="shared" si="21"/>
      </c>
      <c r="AH45" s="53">
        <f t="shared" si="22"/>
      </c>
      <c r="AI45" s="53">
        <f t="shared" si="23"/>
      </c>
      <c r="AJ45" s="55">
        <f t="shared" si="24"/>
      </c>
      <c r="AK45" s="55">
        <f t="shared" si="25"/>
      </c>
      <c r="AL45" s="55">
        <f t="shared" si="26"/>
      </c>
      <c r="AN45" s="56">
        <f t="shared" si="27"/>
      </c>
      <c r="AO45" s="53">
        <f t="shared" si="28"/>
      </c>
      <c r="AP45" s="57">
        <f t="shared" si="29"/>
      </c>
      <c r="AQ45" s="58">
        <f t="shared" si="30"/>
      </c>
      <c r="AR45" s="53">
        <f t="shared" si="31"/>
      </c>
      <c r="AS45" s="59">
        <f t="shared" si="32"/>
      </c>
      <c r="AT45" s="53">
        <f t="shared" si="33"/>
      </c>
      <c r="AU45" s="60"/>
      <c r="AV45" s="58">
        <f t="shared" si="34"/>
      </c>
      <c r="AW45" s="37">
        <f t="shared" si="35"/>
      </c>
      <c r="AX45" s="53">
        <f t="shared" si="36"/>
      </c>
      <c r="AY45" s="53">
        <f t="shared" si="37"/>
      </c>
    </row>
    <row r="46" ht="12">
      <c r="R46" s="29">
        <v>41.625</v>
      </c>
    </row>
  </sheetData>
  <sheetProtection sheet="1" objects="1" scenarios="1"/>
  <printOptions/>
  <pageMargins left="0.63" right="0.57" top="0.89" bottom="1" header="0.5" footer="0.5"/>
  <pageSetup horizontalDpi="200" verticalDpi="200" orientation="landscape" paperSize="9" scale="80"/>
  <headerFooter alignWithMargins="0">
    <oddHeader>&amp;C&amp;"Arial,Bold"&amp;16FYCA Race Result and RYA YR2 Performance Spreadsheet</oddHeader>
    <oddFooter>&amp;L&amp;8File: &amp;F  Sheet: &amp;A  Printed &amp;D @ &amp;T</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FYCA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FYCA_YR2C race result spreadsheet</dc:title>
  <dc:subject>YR2 performance assessment</dc:subject>
  <dc:creator>Jim Scott</dc:creator>
  <cp:keywords/>
  <dc:description>13/07/02: Issue B Sort routine unchanged &amp; cell format reset added.
14/07/02: Explanation notes added.
16/10/02: Average lap column + % performance  + increase to 40 boats.
12/02/03: 999 inserted at cell R46 to cover full 40 result entry. Formula 'copy down' error in column AA corrected.
26/09/05: Transfer equations for FYCA Database input added with random number generator for RID value.</dc:description>
  <cp:lastModifiedBy>KENNY ALLAN</cp:lastModifiedBy>
  <cp:lastPrinted>2017-05-20T15:05:45Z</cp:lastPrinted>
  <dcterms:created xsi:type="dcterms:W3CDTF">2002-05-21T07:26:01Z</dcterms:created>
  <dcterms:modified xsi:type="dcterms:W3CDTF">2017-06-04T20:34:23Z</dcterms:modified>
  <cp:category/>
  <cp:version/>
  <cp:contentType/>
  <cp:contentStatus/>
</cp:coreProperties>
</file>