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375" windowWidth="19170" windowHeight="6420" activeTab="0"/>
  </bookViews>
  <sheets>
    <sheet name="Race #" sheetId="1" r:id="rId1"/>
  </sheets>
  <definedNames>
    <definedName name="_xlnm.Print_Area" localSheetId="0">'Race #'!$A$2:$L$8</definedName>
  </definedNames>
  <calcPr fullCalcOnLoad="1"/>
</workbook>
</file>

<file path=xl/sharedStrings.xml><?xml version="1.0" encoding="utf-8"?>
<sst xmlns="http://schemas.openxmlformats.org/spreadsheetml/2006/main" count="90" uniqueCount="70">
  <si>
    <t>PY</t>
  </si>
  <si>
    <t>H/cap</t>
  </si>
  <si>
    <t>Elapsed</t>
  </si>
  <si>
    <t>Corrected</t>
  </si>
  <si>
    <t>YR2</t>
  </si>
  <si>
    <t>Place</t>
  </si>
  <si>
    <t>Flag</t>
  </si>
  <si>
    <t>Class</t>
  </si>
  <si>
    <t>Sail No.</t>
  </si>
  <si>
    <t>Finish</t>
  </si>
  <si>
    <t>Achieved</t>
  </si>
  <si>
    <t>SCT</t>
  </si>
  <si>
    <t>input?</t>
  </si>
  <si>
    <t>Race ordered</t>
  </si>
  <si>
    <t>Count of finishers</t>
  </si>
  <si>
    <t>Count of ordered</t>
  </si>
  <si>
    <t>SCT from 2+ boats</t>
  </si>
  <si>
    <t>Finishers</t>
  </si>
  <si>
    <t>Finisher</t>
  </si>
  <si>
    <t>count</t>
  </si>
  <si>
    <t>Position</t>
  </si>
  <si>
    <t>Race</t>
  </si>
  <si>
    <t>Boat Name</t>
  </si>
  <si>
    <t>Date</t>
  </si>
  <si>
    <t>Default</t>
  </si>
  <si>
    <t>exc TN</t>
  </si>
  <si>
    <t>2/3 exc TN</t>
  </si>
  <si>
    <t>Count</t>
  </si>
  <si>
    <t>ACTx1.05</t>
  </si>
  <si>
    <t>ACT =</t>
  </si>
  <si>
    <t>Standard corrected time</t>
  </si>
  <si>
    <t>time</t>
  </si>
  <si>
    <t>performance</t>
  </si>
  <si>
    <t>status</t>
  </si>
  <si>
    <t>Note: Press Ctrl+y to calculate race result. Warning: Do not use 'Cut' (Ctrl+x) to move data!</t>
  </si>
  <si>
    <t>Laps</t>
  </si>
  <si>
    <t>%</t>
  </si>
  <si>
    <t>Max</t>
  </si>
  <si>
    <t>FYCA_YR2.xls issue C</t>
  </si>
  <si>
    <t>DATE</t>
  </si>
  <si>
    <t>EVENT</t>
  </si>
  <si>
    <t>Div 1</t>
  </si>
  <si>
    <t>BOATNAME</t>
  </si>
  <si>
    <t>BOATCLASS</t>
  </si>
  <si>
    <t>SAILNO</t>
  </si>
  <si>
    <t>BID</t>
  </si>
  <si>
    <t>HCAP</t>
  </si>
  <si>
    <t>PLACE</t>
  </si>
  <si>
    <t>FINTIME</t>
  </si>
  <si>
    <t>LAPS</t>
  </si>
  <si>
    <t>ELAPSED</t>
  </si>
  <si>
    <t>CORRECTED</t>
  </si>
  <si>
    <t>ACHHC</t>
  </si>
  <si>
    <t>NEWHC</t>
  </si>
  <si>
    <t>A</t>
  </si>
  <si>
    <t>C</t>
  </si>
  <si>
    <t>OHP</t>
  </si>
  <si>
    <t>PRFDX</t>
  </si>
  <si>
    <t>RID</t>
  </si>
  <si>
    <t>FYCA Performance Database - Transfer File</t>
  </si>
  <si>
    <t>Blue Ice</t>
  </si>
  <si>
    <t>Louise</t>
  </si>
  <si>
    <t>RS</t>
  </si>
  <si>
    <t>CN</t>
  </si>
  <si>
    <t>Pokio</t>
  </si>
  <si>
    <t>K484</t>
  </si>
  <si>
    <t>Pole Star</t>
  </si>
  <si>
    <t>Sundowner</t>
  </si>
  <si>
    <t>OCS</t>
  </si>
  <si>
    <t>2019 FCC Fife Regatta restricted sail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</si>
</sst>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h:mm:ss"/>
    <numFmt numFmtId="165" formatCode="0.0"/>
    <numFmt numFmtId="166" formatCode="0.00000000"/>
    <numFmt numFmtId="167" formatCode="0.000000"/>
    <numFmt numFmtId="168" formatCode="0.0%"/>
    <numFmt numFmtId="169" formatCode="0.000"/>
    <numFmt numFmtId="170" formatCode="[$-809]dd\ mmmm\ yyyy;@"/>
    <numFmt numFmtId="171" formatCode="h:mm:ss;@"/>
  </numFmts>
  <fonts count="40">
    <font>
      <sz val="10"/>
      <name val="Arial"/>
      <family val="0"/>
    </font>
    <font>
      <b/>
      <sz val="10"/>
      <name val="Arial"/>
      <family val="2"/>
    </font>
    <font>
      <sz val="8"/>
      <name val="Arial"/>
      <family val="2"/>
    </font>
    <font>
      <b/>
      <sz val="14"/>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1"/>
      <color indexed="8"/>
      <name val="Arial"/>
      <family val="0"/>
    </font>
    <font>
      <sz val="11"/>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style="thin"/>
      <top style="thin"/>
      <bottom>
        <color indexed="63"/>
      </bottom>
    </border>
    <border>
      <left style="thin"/>
      <right style="thin"/>
      <top style="thin"/>
      <bottom>
        <color indexed="63"/>
      </bottom>
    </border>
    <border>
      <left style="medium"/>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1">
    <xf numFmtId="0" fontId="0" fillId="0" borderId="0" xfId="0" applyAlignment="1">
      <alignment/>
    </xf>
    <xf numFmtId="0" fontId="0" fillId="0" borderId="0" xfId="0" applyBorder="1" applyAlignment="1" applyProtection="1">
      <alignment horizontal="center" vertical="center"/>
      <protection locked="0"/>
    </xf>
    <xf numFmtId="164" fontId="0" fillId="0" borderId="0" xfId="0" applyNumberFormat="1" applyBorder="1" applyAlignment="1" applyProtection="1">
      <alignment horizontal="center" vertical="center"/>
      <protection locked="0"/>
    </xf>
    <xf numFmtId="0" fontId="1" fillId="33" borderId="10" xfId="0" applyFont="1"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164" fontId="1" fillId="33" borderId="11" xfId="0" applyNumberFormat="1" applyFont="1" applyFill="1" applyBorder="1" applyAlignment="1" applyProtection="1">
      <alignment horizontal="center" vertical="center"/>
      <protection/>
    </xf>
    <xf numFmtId="164" fontId="0" fillId="33" borderId="11" xfId="0" applyNumberFormat="1"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164" fontId="1" fillId="33" borderId="13" xfId="0" applyNumberFormat="1" applyFont="1" applyFill="1" applyBorder="1" applyAlignment="1" applyProtection="1">
      <alignment horizontal="center" vertical="center"/>
      <protection/>
    </xf>
    <xf numFmtId="164" fontId="1" fillId="0" borderId="0" xfId="0" applyNumberFormat="1" applyFont="1" applyBorder="1" applyAlignment="1" applyProtection="1">
      <alignment horizontal="center"/>
      <protection/>
    </xf>
    <xf numFmtId="0" fontId="0" fillId="33" borderId="14" xfId="0" applyFill="1" applyBorder="1" applyAlignment="1" applyProtection="1">
      <alignment horizontal="center" vertical="center"/>
      <protection/>
    </xf>
    <xf numFmtId="164" fontId="1" fillId="33" borderId="12" xfId="0" applyNumberFormat="1" applyFont="1" applyFill="1" applyBorder="1" applyAlignment="1" applyProtection="1">
      <alignment horizontal="center" vertical="center"/>
      <protection/>
    </xf>
    <xf numFmtId="164" fontId="1" fillId="33" borderId="15" xfId="0" applyNumberFormat="1" applyFont="1" applyFill="1" applyBorder="1" applyAlignment="1" applyProtection="1">
      <alignment horizontal="center" vertical="center"/>
      <protection/>
    </xf>
    <xf numFmtId="164" fontId="0" fillId="0" borderId="0" xfId="0" applyNumberFormat="1" applyBorder="1" applyAlignment="1" applyProtection="1">
      <alignment horizontal="center" vertical="center"/>
      <protection/>
    </xf>
    <xf numFmtId="1" fontId="1" fillId="0" borderId="0" xfId="0" applyNumberFormat="1" applyFont="1" applyBorder="1" applyAlignment="1" applyProtection="1">
      <alignment horizontal="center" vertical="center"/>
      <protection/>
    </xf>
    <xf numFmtId="1" fontId="0" fillId="0" borderId="0" xfId="0" applyNumberFormat="1" applyBorder="1" applyAlignment="1" applyProtection="1">
      <alignment horizontal="center" vertical="center"/>
      <protection/>
    </xf>
    <xf numFmtId="0" fontId="1" fillId="33" borderId="12" xfId="0" applyFont="1" applyFill="1" applyBorder="1" applyAlignment="1" applyProtection="1">
      <alignment horizontal="center" vertical="center"/>
      <protection/>
    </xf>
    <xf numFmtId="164" fontId="2" fillId="33" borderId="13" xfId="0" applyNumberFormat="1" applyFont="1" applyFill="1" applyBorder="1" applyAlignment="1" applyProtection="1">
      <alignment horizontal="right" vertical="center"/>
      <protection/>
    </xf>
    <xf numFmtId="0" fontId="3" fillId="0" borderId="0" xfId="0" applyFont="1" applyBorder="1" applyAlignment="1" applyProtection="1">
      <alignment horizontal="left" vertical="center"/>
      <protection/>
    </xf>
    <xf numFmtId="0" fontId="0" fillId="0" borderId="0" xfId="0" applyBorder="1" applyAlignment="1" applyProtection="1">
      <alignment horizontal="center"/>
      <protection/>
    </xf>
    <xf numFmtId="21" fontId="0" fillId="0" borderId="0" xfId="0" applyNumberFormat="1" applyBorder="1" applyAlignment="1" applyProtection="1">
      <alignment horizontal="center"/>
      <protection/>
    </xf>
    <xf numFmtId="164" fontId="0" fillId="0" borderId="0" xfId="0" applyNumberFormat="1" applyBorder="1" applyAlignment="1" applyProtection="1">
      <alignment/>
      <protection/>
    </xf>
    <xf numFmtId="166" fontId="1" fillId="0" borderId="0" xfId="0" applyNumberFormat="1" applyFont="1" applyBorder="1" applyAlignment="1" applyProtection="1">
      <alignment/>
      <protection/>
    </xf>
    <xf numFmtId="164" fontId="0" fillId="0" borderId="0" xfId="0" applyNumberFormat="1" applyFont="1" applyBorder="1" applyAlignment="1" applyProtection="1">
      <alignment horizontal="center"/>
      <protection/>
    </xf>
    <xf numFmtId="0" fontId="0" fillId="0" borderId="0" xfId="0" applyBorder="1" applyAlignment="1" applyProtection="1">
      <alignment/>
      <protection/>
    </xf>
    <xf numFmtId="0" fontId="0" fillId="0" borderId="0" xfId="0" applyBorder="1" applyAlignment="1" applyProtection="1">
      <alignment horizontal="right"/>
      <protection/>
    </xf>
    <xf numFmtId="164" fontId="0" fillId="0" borderId="0" xfId="0" applyNumberFormat="1" applyBorder="1" applyAlignment="1" applyProtection="1">
      <alignment horizontal="center"/>
      <protection/>
    </xf>
    <xf numFmtId="0" fontId="0" fillId="33" borderId="0" xfId="0" applyFill="1" applyBorder="1" applyAlignment="1" applyProtection="1">
      <alignment horizontal="center" vertical="center"/>
      <protection/>
    </xf>
    <xf numFmtId="164" fontId="0" fillId="33" borderId="0" xfId="0" applyNumberFormat="1" applyFill="1" applyBorder="1" applyAlignment="1" applyProtection="1">
      <alignment horizontal="center" vertical="center"/>
      <protection/>
    </xf>
    <xf numFmtId="46" fontId="0" fillId="0" borderId="0" xfId="0" applyNumberFormat="1" applyBorder="1" applyAlignment="1" applyProtection="1">
      <alignment horizontal="center"/>
      <protection/>
    </xf>
    <xf numFmtId="164" fontId="1" fillId="33" borderId="0" xfId="0" applyNumberFormat="1" applyFont="1" applyFill="1" applyBorder="1" applyAlignment="1" applyProtection="1">
      <alignment horizontal="left" vertical="center"/>
      <protection/>
    </xf>
    <xf numFmtId="1" fontId="1" fillId="0" borderId="0" xfId="0" applyNumberFormat="1" applyFont="1" applyBorder="1" applyAlignment="1" applyProtection="1">
      <alignment horizontal="center"/>
      <protection/>
    </xf>
    <xf numFmtId="0" fontId="0" fillId="0" borderId="0" xfId="0" applyFont="1" applyBorder="1" applyAlignment="1" applyProtection="1">
      <alignment horizontal="center"/>
      <protection/>
    </xf>
    <xf numFmtId="0" fontId="1" fillId="0" borderId="0" xfId="0" applyFont="1" applyBorder="1" applyAlignment="1" applyProtection="1">
      <alignment horizontal="center"/>
      <protection/>
    </xf>
    <xf numFmtId="0" fontId="0" fillId="0" borderId="0" xfId="0" applyFont="1" applyBorder="1" applyAlignment="1" applyProtection="1">
      <alignment horizontal="left"/>
      <protection/>
    </xf>
    <xf numFmtId="46" fontId="0" fillId="0" borderId="0" xfId="0" applyNumberFormat="1" applyBorder="1" applyAlignment="1" applyProtection="1">
      <alignment/>
      <protection/>
    </xf>
    <xf numFmtId="46" fontId="0" fillId="0" borderId="0" xfId="0" applyNumberFormat="1" applyBorder="1" applyAlignment="1" applyProtection="1">
      <alignment horizontal="center" vertical="center"/>
      <protection/>
    </xf>
    <xf numFmtId="0" fontId="0" fillId="0" borderId="0" xfId="0" applyBorder="1" applyAlignment="1" applyProtection="1">
      <alignment horizontal="center" vertical="center"/>
      <protection/>
    </xf>
    <xf numFmtId="164" fontId="1" fillId="0" borderId="0" xfId="0" applyNumberFormat="1" applyFont="1" applyBorder="1" applyAlignment="1" applyProtection="1">
      <alignment/>
      <protection/>
    </xf>
    <xf numFmtId="164" fontId="0" fillId="33" borderId="16" xfId="0" applyNumberFormat="1" applyFill="1" applyBorder="1" applyAlignment="1" applyProtection="1">
      <alignment horizontal="center" vertical="center"/>
      <protection/>
    </xf>
    <xf numFmtId="0" fontId="0" fillId="34" borderId="17" xfId="0" applyFill="1" applyBorder="1" applyAlignment="1" applyProtection="1">
      <alignment horizontal="center" vertical="center"/>
      <protection locked="0"/>
    </xf>
    <xf numFmtId="15" fontId="0" fillId="34" borderId="18" xfId="0" applyNumberFormat="1" applyFill="1" applyBorder="1" applyAlignment="1" applyProtection="1">
      <alignment horizontal="center" vertical="center"/>
      <protection locked="0"/>
    </xf>
    <xf numFmtId="21" fontId="0" fillId="34" borderId="18" xfId="0" applyNumberFormat="1" applyFill="1" applyBorder="1" applyAlignment="1" applyProtection="1">
      <alignment horizontal="center" vertical="center"/>
      <protection locked="0"/>
    </xf>
    <xf numFmtId="164" fontId="0" fillId="34" borderId="18" xfId="0" applyNumberFormat="1" applyFill="1" applyBorder="1" applyAlignment="1" applyProtection="1">
      <alignment horizontal="center" vertical="center"/>
      <protection/>
    </xf>
    <xf numFmtId="0" fontId="0" fillId="0" borderId="0" xfId="0" applyBorder="1" applyAlignment="1">
      <alignment horizontal="left" vertical="center" indent="1"/>
    </xf>
    <xf numFmtId="0" fontId="0" fillId="0" borderId="0" xfId="0" applyBorder="1" applyAlignment="1">
      <alignment horizontal="left" vertical="center"/>
    </xf>
    <xf numFmtId="0" fontId="0" fillId="0" borderId="0" xfId="0" applyBorder="1" applyAlignment="1">
      <alignment horizontal="center" vertical="center"/>
    </xf>
    <xf numFmtId="168" fontId="0" fillId="0" borderId="0" xfId="0" applyNumberFormat="1" applyBorder="1" applyAlignment="1" applyProtection="1">
      <alignment horizontal="center" vertical="center"/>
      <protection/>
    </xf>
    <xf numFmtId="1" fontId="0" fillId="0" borderId="0" xfId="0" applyNumberFormat="1" applyFont="1" applyBorder="1" applyAlignment="1" applyProtection="1">
      <alignment horizontal="center"/>
      <protection/>
    </xf>
    <xf numFmtId="164" fontId="1" fillId="33" borderId="12" xfId="0" applyNumberFormat="1" applyFont="1" applyFill="1" applyBorder="1" applyAlignment="1" applyProtection="1">
      <alignment horizontal="left" vertical="center"/>
      <protection/>
    </xf>
    <xf numFmtId="0" fontId="4" fillId="0" borderId="0" xfId="0" applyFont="1" applyFill="1" applyBorder="1" applyAlignment="1" applyProtection="1">
      <alignment horizontal="left" vertical="center" indent="1"/>
      <protection locked="0"/>
    </xf>
    <xf numFmtId="0" fontId="4" fillId="0" borderId="0" xfId="0" applyFont="1" applyFill="1" applyBorder="1" applyAlignment="1" applyProtection="1">
      <alignment horizontal="left" vertical="center"/>
      <protection locked="0"/>
    </xf>
    <xf numFmtId="15" fontId="0" fillId="0" borderId="0" xfId="0" applyNumberFormat="1" applyBorder="1" applyAlignment="1" applyProtection="1">
      <alignment horizontal="left" vertical="center"/>
      <protection/>
    </xf>
    <xf numFmtId="1" fontId="0" fillId="0" borderId="0" xfId="0" applyNumberFormat="1" applyBorder="1" applyAlignment="1" applyProtection="1">
      <alignment horizontal="right" vertical="center"/>
      <protection/>
    </xf>
    <xf numFmtId="170" fontId="0" fillId="0" borderId="0" xfId="0" applyNumberFormat="1" applyBorder="1" applyAlignment="1" applyProtection="1">
      <alignment horizontal="left" vertical="center"/>
      <protection/>
    </xf>
    <xf numFmtId="0" fontId="0" fillId="0" borderId="0" xfId="0" applyNumberFormat="1" applyBorder="1" applyAlignment="1" applyProtection="1">
      <alignment horizontal="left" vertical="center"/>
      <protection/>
    </xf>
    <xf numFmtId="0" fontId="0" fillId="0" borderId="0" xfId="0" applyNumberFormat="1" applyBorder="1" applyAlignment="1" applyProtection="1">
      <alignment horizontal="right" vertical="center"/>
      <protection/>
    </xf>
    <xf numFmtId="171" fontId="0" fillId="0" borderId="0" xfId="0" applyNumberFormat="1" applyBorder="1" applyAlignment="1" applyProtection="1">
      <alignment horizontal="left" vertical="center"/>
      <protection/>
    </xf>
    <xf numFmtId="1" fontId="0" fillId="0" borderId="0" xfId="0" applyNumberFormat="1" applyBorder="1" applyAlignment="1" applyProtection="1">
      <alignment horizontal="left" vertical="center"/>
      <protection/>
    </xf>
    <xf numFmtId="2" fontId="0" fillId="0" borderId="0" xfId="0" applyNumberFormat="1" applyBorder="1" applyAlignment="1" applyProtection="1">
      <alignment horizontal="right" vertical="center"/>
      <protection/>
    </xf>
    <xf numFmtId="0" fontId="0" fillId="0" borderId="0" xfId="0" applyBorder="1" applyAlignment="1" applyProtection="1">
      <alignment horizontal="right" vertical="center"/>
      <protection/>
    </xf>
    <xf numFmtId="0" fontId="0" fillId="0" borderId="0" xfId="0" applyBorder="1" applyAlignment="1" applyProtection="1">
      <alignment horizontal="left" vertical="center" indent="1"/>
      <protection locked="0"/>
    </xf>
    <xf numFmtId="0" fontId="0" fillId="0" borderId="0" xfId="0" applyBorder="1" applyAlignment="1" applyProtection="1">
      <alignment horizontal="left" vertical="center"/>
      <protection locked="0"/>
    </xf>
    <xf numFmtId="46" fontId="0" fillId="0" borderId="0"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0" fontId="1" fillId="33" borderId="10" xfId="0" applyFont="1" applyFill="1" applyBorder="1" applyAlignment="1" applyProtection="1">
      <alignment/>
      <protection/>
    </xf>
    <xf numFmtId="0" fontId="0" fillId="33" borderId="11" xfId="0" applyFill="1" applyBorder="1" applyAlignment="1" applyProtection="1">
      <alignment/>
      <protection/>
    </xf>
    <xf numFmtId="0" fontId="0" fillId="33" borderId="13" xfId="0" applyFill="1" applyBorder="1" applyAlignment="1" applyProtection="1">
      <alignment/>
      <protection/>
    </xf>
    <xf numFmtId="0" fontId="1" fillId="33" borderId="19"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1" fillId="33" borderId="0" xfId="0" applyFont="1" applyFill="1" applyBorder="1" applyAlignment="1" applyProtection="1">
      <alignment horizontal="center"/>
      <protection/>
    </xf>
    <xf numFmtId="0" fontId="1" fillId="33" borderId="16" xfId="0" applyFont="1" applyFill="1" applyBorder="1" applyAlignment="1" applyProtection="1">
      <alignment horizontal="center"/>
      <protection/>
    </xf>
    <xf numFmtId="15" fontId="0" fillId="33" borderId="14" xfId="0" applyNumberFormat="1" applyFill="1" applyBorder="1" applyAlignment="1">
      <alignment/>
    </xf>
    <xf numFmtId="1" fontId="0" fillId="33" borderId="12" xfId="0" applyNumberFormat="1" applyFill="1" applyBorder="1" applyAlignment="1">
      <alignment/>
    </xf>
    <xf numFmtId="1" fontId="0" fillId="33" borderId="12" xfId="0" applyNumberFormat="1" applyFill="1" applyBorder="1" applyAlignment="1">
      <alignment horizontal="right"/>
    </xf>
    <xf numFmtId="2" fontId="0" fillId="33" borderId="12" xfId="0" applyNumberFormat="1" applyFill="1" applyBorder="1" applyAlignment="1">
      <alignment/>
    </xf>
    <xf numFmtId="1" fontId="0" fillId="33" borderId="15" xfId="0" applyNumberFormat="1" applyFill="1" applyBorder="1" applyAlignment="1">
      <alignment horizontal="right"/>
    </xf>
    <xf numFmtId="0" fontId="0" fillId="0" borderId="0" xfId="0" applyFont="1" applyBorder="1" applyAlignment="1" applyProtection="1">
      <alignment horizontal="center" vertical="center"/>
      <protection locked="0"/>
    </xf>
    <xf numFmtId="46" fontId="0" fillId="0" borderId="0" xfId="0" applyNumberFormat="1"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45</xdr:row>
      <xdr:rowOff>38100</xdr:rowOff>
    </xdr:from>
    <xdr:to>
      <xdr:col>13</xdr:col>
      <xdr:colOff>390525</xdr:colOff>
      <xdr:row>74</xdr:row>
      <xdr:rowOff>0</xdr:rowOff>
    </xdr:to>
    <xdr:sp>
      <xdr:nvSpPr>
        <xdr:cNvPr id="1" name="Text Box 1"/>
        <xdr:cNvSpPr txBox="1">
          <a:spLocks noChangeArrowheads="1"/>
        </xdr:cNvSpPr>
      </xdr:nvSpPr>
      <xdr:spPr>
        <a:xfrm>
          <a:off x="38100" y="10325100"/>
          <a:ext cx="9172575" cy="46577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Notes: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FYCA race result spreadsheet with RYA YR2 'achieved performance' calculation modified to include 'Club Number' (CN) status boats. PY H/cap should be the agreed Portsmouth Yardstick handicap for each boat. H/cap status is the Portsmouth Yardstick standing of the handicap value for each boat. PY = Primary Yardstick; SY = Secondary Yardstick; RN = Recommended number; CN = Club number; TN = Trial number. PY, SY &amp; RN handicaps are published annually in the  RYA YR2 listing. CN status is for boats about which clubs have significant performance evidence and may be rated as such in the FYCA yacht handicap list. TN status is for boats with no published handicap and insufficient performance evidence to date.
</a:t>
          </a:r>
          <a:r>
            <a:rPr lang="en-US" cap="none" sz="1100" b="0" i="0" u="none" baseline="0">
              <a:solidFill>
                <a:srgbClr val="000000"/>
              </a:solidFill>
              <a:latin typeface="Arial"/>
              <a:ea typeface="Arial"/>
              <a:cs typeface="Arial"/>
            </a:rPr>
            <a:t>Corrected times are rounded to the nearest second to reflect realistic timing accuracy. If two or more boats have identical corrected times, they will have the same placing &amp; the next boat will be two or more places behind.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Performance Assessment:
</a:t>
          </a:r>
          <a:r>
            <a:rPr lang="en-US" cap="none" sz="1100" b="0" i="0" u="none" baseline="0">
              <a:solidFill>
                <a:srgbClr val="000000"/>
              </a:solidFill>
              <a:latin typeface="Arial"/>
              <a:ea typeface="Arial"/>
              <a:cs typeface="Arial"/>
            </a:rPr>
            <a:t>The racing performance of boats, in percentage terms relative to handicap, is a 'skewed' distribution with a broader 'tail' on the poor performance side since it is easier to sail slowly rather than fast. The Standard Corrected Time (SCT) is defined as the corrected time achieved on average by the largest group of boats, i.e. those boats that sailed 'to handicap' or ~0%. This is the 'mode' of the distribution. Individual boat performances can then be calculated by comparison with the SCT.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RYA YR2 procedure allows for the typical 'skewed' distribution and calculates the SCT using only the PY, SY &amp; RN status boats. Since these make up only 1/3 of the Forth yacht fleet, FYCA has modified the YR2 procedure to include CN status yachts, representing a further 1/3 of the fleet. TN boats are excluded because their handicaps are not well enough established. The average of corrected times for the top two thirds of the PY, SY, RN &amp; CN boats in the race gives the Average Corrected Time (ACT). A further +5%, corresponding to the average performance relative to handicap 2/3 down the fleet, is added to define the 'poor performance' limit. The corrected times of all PY, SY, RN &amp; CN boats faster than ACT+5% are then averaged to give the SCT for the race.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 this spreadsheet, the SCT is only considered valid if two or more boats contribute towards it, otherwise performance data is not displayed. The elapsed time for each boat is divided by the SCT and normalised relative to 1000 to give its 'achieved performance'. Performances slower than ACT+5% are shown as 'Slow' and should be excluded in calculating a boat's average performance for handicap assessment.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Y46"/>
  <sheetViews>
    <sheetView tabSelected="1" zoomScalePageLayoutView="0" workbookViewId="0" topLeftCell="A1">
      <pane ySplit="5" topLeftCell="A6" activePane="bottomLeft" state="frozen"/>
      <selection pane="topLeft" activeCell="A1" sqref="A1"/>
      <selection pane="bottomLeft" activeCell="A3" sqref="A3"/>
    </sheetView>
  </sheetViews>
  <sheetFormatPr defaultColWidth="9.140625" defaultRowHeight="12.75"/>
  <cols>
    <col min="1" max="1" width="25.57421875" style="25" customWidth="1"/>
    <col min="2" max="2" width="15.57421875" style="25" customWidth="1"/>
    <col min="3" max="3" width="11.8515625" style="25" customWidth="1"/>
    <col min="4" max="5" width="6.8515625" style="25" customWidth="1"/>
    <col min="6" max="7" width="9.421875" style="22" customWidth="1"/>
    <col min="8" max="8" width="5.00390625" style="22" customWidth="1"/>
    <col min="9" max="9" width="9.421875" style="22" customWidth="1"/>
    <col min="10" max="10" width="7.00390625" style="39" customWidth="1"/>
    <col min="11" max="11" width="9.7109375" style="22" customWidth="1"/>
    <col min="12" max="12" width="9.00390625" style="22" customWidth="1"/>
    <col min="13" max="13" width="6.57421875" style="22" customWidth="1"/>
    <col min="14" max="14" width="7.00390625" style="22" customWidth="1"/>
    <col min="15" max="16" width="6.00390625" style="22" customWidth="1"/>
    <col min="17" max="17" width="9.140625" style="22" customWidth="1"/>
    <col min="18" max="18" width="12.00390625" style="25" customWidth="1"/>
    <col min="19" max="20" width="11.140625" style="25" customWidth="1"/>
    <col min="21" max="26" width="9.140625" style="25" customWidth="1"/>
    <col min="27" max="27" width="6.7109375" style="20" customWidth="1"/>
    <col min="28" max="30" width="9.140625" style="25" customWidth="1"/>
    <col min="31" max="31" width="11.7109375" style="25" customWidth="1"/>
    <col min="32" max="32" width="5.7109375" style="25" customWidth="1"/>
    <col min="33" max="33" width="15.28125" style="25" customWidth="1"/>
    <col min="34" max="34" width="6.28125" style="25" customWidth="1"/>
    <col min="35" max="38" width="9.140625" style="25" customWidth="1"/>
    <col min="39" max="39" width="5.57421875" style="25" customWidth="1"/>
    <col min="40" max="40" width="9.140625" style="25" customWidth="1"/>
    <col min="41" max="41" width="7.28125" style="25" customWidth="1"/>
    <col min="42" max="47" width="9.140625" style="25" customWidth="1"/>
    <col min="48" max="49" width="5.57421875" style="25" customWidth="1"/>
    <col min="50" max="16384" width="9.140625" style="25" customWidth="1"/>
  </cols>
  <sheetData>
    <row r="1" spans="1:27" ht="18" customHeight="1" thickBot="1">
      <c r="A1" s="19" t="s">
        <v>34</v>
      </c>
      <c r="B1" s="20"/>
      <c r="C1" s="20"/>
      <c r="D1" s="20"/>
      <c r="E1" s="20"/>
      <c r="F1" s="21"/>
      <c r="J1" s="23"/>
      <c r="Q1" s="24"/>
      <c r="R1" s="20" t="s">
        <v>24</v>
      </c>
      <c r="U1" s="20" t="s">
        <v>26</v>
      </c>
      <c r="V1" s="26" t="s">
        <v>29</v>
      </c>
      <c r="W1" s="27">
        <f>IF(U2&gt;0,AVERAGE(W6:W45),"")</f>
        <v>0.10861111111111112</v>
      </c>
      <c r="X1" s="27" t="s">
        <v>11</v>
      </c>
      <c r="AA1" s="20" t="s">
        <v>6</v>
      </c>
    </row>
    <row r="2" spans="1:28" ht="18" customHeight="1" thickBot="1">
      <c r="A2" s="3" t="s">
        <v>21</v>
      </c>
      <c r="B2" s="4"/>
      <c r="C2" s="5" t="s">
        <v>23</v>
      </c>
      <c r="D2" s="4"/>
      <c r="E2" s="4"/>
      <c r="F2" s="6" t="str">
        <f>IF(MIN(Q6:Q45)&lt;F3,"Finish time earlier than start!","Start time")</f>
        <v>Start time</v>
      </c>
      <c r="G2" s="7"/>
      <c r="H2" s="7"/>
      <c r="I2" s="6" t="s">
        <v>11</v>
      </c>
      <c r="J2" s="6"/>
      <c r="K2" s="7"/>
      <c r="L2" s="7"/>
      <c r="M2" s="7"/>
      <c r="N2" s="18" t="s">
        <v>38</v>
      </c>
      <c r="R2" s="30">
        <v>41.625</v>
      </c>
      <c r="S2" s="20" t="s">
        <v>18</v>
      </c>
      <c r="T2" s="20" t="s">
        <v>21</v>
      </c>
      <c r="U2" s="20">
        <f>ROUND(U4*2/3,0)</f>
        <v>1</v>
      </c>
      <c r="V2" s="26" t="s">
        <v>28</v>
      </c>
      <c r="W2" s="27">
        <f>IF(U2&gt;0,W1*1.05,"")</f>
        <v>0.11404166666666668</v>
      </c>
      <c r="X2" s="27">
        <f>IF(X4&gt;1,AVERAGE(X6:X45),"")</f>
      </c>
      <c r="AA2" s="20">
        <f>IF(AND(MIN(Q6:Q45)&gt;F3,AA4=AA5,Q4=S4),1,0)</f>
        <v>1</v>
      </c>
      <c r="AB2" s="25" t="s">
        <v>13</v>
      </c>
    </row>
    <row r="3" spans="1:51" ht="18" customHeight="1" thickBot="1">
      <c r="A3" s="41" t="s">
        <v>69</v>
      </c>
      <c r="B3" s="28"/>
      <c r="C3" s="42">
        <v>43604</v>
      </c>
      <c r="D3" s="28"/>
      <c r="E3" s="28"/>
      <c r="F3" s="43">
        <v>0.6006944444444444</v>
      </c>
      <c r="G3" s="29"/>
      <c r="H3" s="29"/>
      <c r="I3" s="44">
        <f>IF(AND(AA$2=1,AA$3=1,Q6&lt;1),X2,"")</f>
      </c>
      <c r="J3" s="31" t="s">
        <v>30</v>
      </c>
      <c r="K3" s="29"/>
      <c r="L3" s="29"/>
      <c r="M3" s="29"/>
      <c r="N3" s="40"/>
      <c r="P3" s="27" t="s">
        <v>35</v>
      </c>
      <c r="Q3" s="27" t="s">
        <v>17</v>
      </c>
      <c r="R3" s="30" t="s">
        <v>3</v>
      </c>
      <c r="S3" s="30" t="s">
        <v>19</v>
      </c>
      <c r="T3" s="20" t="s">
        <v>20</v>
      </c>
      <c r="U3" s="20" t="s">
        <v>25</v>
      </c>
      <c r="W3" s="22"/>
      <c r="X3" s="22"/>
      <c r="AA3" s="20">
        <f>IF(X4&gt;1,1,0)</f>
        <v>0</v>
      </c>
      <c r="AB3" s="25" t="s">
        <v>16</v>
      </c>
      <c r="AE3" s="66" t="s">
        <v>59</v>
      </c>
      <c r="AF3" s="67"/>
      <c r="AG3" s="67"/>
      <c r="AH3" s="67"/>
      <c r="AI3" s="67"/>
      <c r="AJ3" s="67"/>
      <c r="AK3" s="67"/>
      <c r="AL3" s="67"/>
      <c r="AM3" s="67"/>
      <c r="AN3" s="67"/>
      <c r="AO3" s="67"/>
      <c r="AP3" s="67"/>
      <c r="AQ3" s="67"/>
      <c r="AR3" s="67"/>
      <c r="AS3" s="67"/>
      <c r="AT3" s="67"/>
      <c r="AU3" s="67"/>
      <c r="AV3" s="67"/>
      <c r="AW3" s="67"/>
      <c r="AX3" s="67"/>
      <c r="AY3" s="68"/>
    </row>
    <row r="4" spans="1:51" s="34" customFormat="1" ht="18" customHeight="1">
      <c r="A4" s="3" t="s">
        <v>22</v>
      </c>
      <c r="B4" s="5" t="s">
        <v>7</v>
      </c>
      <c r="C4" s="5" t="s">
        <v>8</v>
      </c>
      <c r="D4" s="5" t="s">
        <v>0</v>
      </c>
      <c r="E4" s="5" t="s">
        <v>1</v>
      </c>
      <c r="F4" s="6" t="s">
        <v>9</v>
      </c>
      <c r="G4" s="6" t="s">
        <v>2</v>
      </c>
      <c r="H4" s="6" t="s">
        <v>35</v>
      </c>
      <c r="I4" s="6" t="s">
        <v>3</v>
      </c>
      <c r="J4" s="6" t="s">
        <v>5</v>
      </c>
      <c r="K4" s="6" t="s">
        <v>10</v>
      </c>
      <c r="L4" s="6" t="s">
        <v>36</v>
      </c>
      <c r="M4" s="6" t="s">
        <v>4</v>
      </c>
      <c r="N4" s="9" t="s">
        <v>11</v>
      </c>
      <c r="O4" s="10"/>
      <c r="P4" s="24" t="s">
        <v>37</v>
      </c>
      <c r="Q4" s="32">
        <f>COUNTIF(Q6:Q45,"&lt;1")</f>
        <v>1</v>
      </c>
      <c r="R4" s="32">
        <f>COUNTIF(R6:R45,"&lt;1")</f>
        <v>1</v>
      </c>
      <c r="S4" s="32">
        <f>COUNTIF(S6:S45,"&gt;.5")</f>
        <v>1</v>
      </c>
      <c r="T4" s="32">
        <f>COUNTIF(T6:T45,"&gt;.5")</f>
        <v>1</v>
      </c>
      <c r="U4" s="32">
        <f>COUNTIF(U6:U45,"&lt;1")</f>
        <v>1</v>
      </c>
      <c r="V4" s="33" t="s">
        <v>27</v>
      </c>
      <c r="W4" s="32">
        <f>COUNTIF(W6:W45,"&lt;1")</f>
        <v>1</v>
      </c>
      <c r="X4" s="32">
        <f>COUNTIF(X6:X45,"&lt;1")</f>
        <v>1</v>
      </c>
      <c r="AA4" s="33">
        <f>COUNTIF(Q6:Q45,"&lt;1")</f>
        <v>1</v>
      </c>
      <c r="AB4" s="35" t="s">
        <v>14</v>
      </c>
      <c r="AE4" s="69"/>
      <c r="AF4" s="70" t="s">
        <v>58</v>
      </c>
      <c r="AG4" s="71"/>
      <c r="AH4" s="71"/>
      <c r="AI4" s="71"/>
      <c r="AJ4" s="71"/>
      <c r="AK4" s="71"/>
      <c r="AL4" s="71"/>
      <c r="AM4" s="71"/>
      <c r="AN4" s="71"/>
      <c r="AO4" s="71"/>
      <c r="AP4" s="71"/>
      <c r="AQ4" s="71"/>
      <c r="AR4" s="71"/>
      <c r="AS4" s="71"/>
      <c r="AT4" s="71"/>
      <c r="AU4" s="71"/>
      <c r="AV4" s="71"/>
      <c r="AW4" s="71"/>
      <c r="AX4" s="71"/>
      <c r="AY4" s="72"/>
    </row>
    <row r="5" spans="1:51" ht="18" customHeight="1" thickBot="1">
      <c r="A5" s="11"/>
      <c r="B5" s="8"/>
      <c r="C5" s="8"/>
      <c r="D5" s="17" t="s">
        <v>1</v>
      </c>
      <c r="E5" s="17" t="s">
        <v>33</v>
      </c>
      <c r="F5" s="12" t="s">
        <v>31</v>
      </c>
      <c r="G5" s="12" t="s">
        <v>31</v>
      </c>
      <c r="H5" s="12"/>
      <c r="I5" s="12" t="s">
        <v>31</v>
      </c>
      <c r="J5" s="12"/>
      <c r="K5" s="50" t="s">
        <v>32</v>
      </c>
      <c r="L5" s="12"/>
      <c r="M5" s="12"/>
      <c r="N5" s="13" t="s">
        <v>12</v>
      </c>
      <c r="O5" s="10"/>
      <c r="P5" s="49">
        <f>MAX(P6:P45)</f>
        <v>1</v>
      </c>
      <c r="Q5" s="32"/>
      <c r="R5" s="32"/>
      <c r="S5" s="32"/>
      <c r="T5" s="36"/>
      <c r="U5" s="20"/>
      <c r="W5" s="22"/>
      <c r="X5" s="22"/>
      <c r="AA5" s="20">
        <f>SUM(AA6:AA45)</f>
        <v>1</v>
      </c>
      <c r="AB5" s="25" t="s">
        <v>15</v>
      </c>
      <c r="AE5" s="73" t="s">
        <v>39</v>
      </c>
      <c r="AF5" s="74">
        <f ca="1">ROUND(RAND()*1000,0)</f>
        <v>752</v>
      </c>
      <c r="AG5" s="74" t="s">
        <v>40</v>
      </c>
      <c r="AH5" s="75" t="s">
        <v>41</v>
      </c>
      <c r="AI5" s="76" t="s">
        <v>11</v>
      </c>
      <c r="AJ5" s="74" t="s">
        <v>42</v>
      </c>
      <c r="AK5" s="74" t="s">
        <v>43</v>
      </c>
      <c r="AL5" s="74" t="s">
        <v>44</v>
      </c>
      <c r="AM5" s="74" t="s">
        <v>45</v>
      </c>
      <c r="AN5" s="75" t="s">
        <v>46</v>
      </c>
      <c r="AO5" s="74" t="s">
        <v>47</v>
      </c>
      <c r="AP5" s="74" t="s">
        <v>48</v>
      </c>
      <c r="AQ5" s="74" t="s">
        <v>49</v>
      </c>
      <c r="AR5" s="74" t="s">
        <v>50</v>
      </c>
      <c r="AS5" s="76" t="s">
        <v>51</v>
      </c>
      <c r="AT5" s="75" t="s">
        <v>52</v>
      </c>
      <c r="AU5" s="75" t="s">
        <v>53</v>
      </c>
      <c r="AV5" s="74" t="s">
        <v>54</v>
      </c>
      <c r="AW5" s="74" t="s">
        <v>55</v>
      </c>
      <c r="AX5" s="75" t="s">
        <v>56</v>
      </c>
      <c r="AY5" s="77" t="s">
        <v>57</v>
      </c>
    </row>
    <row r="6" spans="1:51" s="38" customFormat="1" ht="18" customHeight="1">
      <c r="A6" s="62" t="s">
        <v>64</v>
      </c>
      <c r="B6" s="63" t="s">
        <v>62</v>
      </c>
      <c r="C6" s="63" t="s">
        <v>65</v>
      </c>
      <c r="D6" s="1">
        <v>1181</v>
      </c>
      <c r="E6" s="78" t="s">
        <v>63</v>
      </c>
      <c r="F6" s="79">
        <v>0.7289583333333334</v>
      </c>
      <c r="G6" s="14">
        <f>IF(Q6&lt;1,Q6-F$3,"")</f>
        <v>0.12826388888888896</v>
      </c>
      <c r="H6" s="65"/>
      <c r="I6" s="14">
        <f>IF(AND(AA$2=1,Q6&lt;1),R6,"")</f>
        <v>0.10861111111111112</v>
      </c>
      <c r="J6" s="15">
        <f>IF(AA$2=1,T6,"")</f>
        <v>1</v>
      </c>
      <c r="K6" s="16">
        <f>IF(AND(AA$2=1,AA$3=1,Q6&lt;1),Y6,"")</f>
      </c>
      <c r="L6" s="48">
        <f>IF(AND(AA$2=1,AA$3=1,Q6&lt;1),Z6,"")</f>
      </c>
      <c r="M6" s="16">
        <f>IF(AND(AA$2=1,AA$3=1,R6&gt;W$2,R6&lt;R$2),"Slow","")</f>
      </c>
      <c r="N6" s="14">
        <f>IF(AND(AA$2=1,AA$3=1,X6&lt;1),"yes","")</f>
      </c>
      <c r="O6" s="14"/>
      <c r="P6" s="16">
        <f>IF(H6="",1,H6)</f>
        <v>1</v>
      </c>
      <c r="Q6" s="14">
        <f>IF(F6=""," ",F6)</f>
        <v>0.7289583333333334</v>
      </c>
      <c r="R6" s="37">
        <f>IF(AND(Q6&lt;1,D6&gt;1),ROUND(G6/P6*1000/D6*24*3600,0)/(24*3600),R$2)</f>
        <v>0.10861111111111112</v>
      </c>
      <c r="S6" s="16">
        <f>IF(Q6&lt;1,S5+1,"")</f>
        <v>1</v>
      </c>
      <c r="T6" s="16">
        <f>IF(R6=R5,T5,S6)</f>
        <v>1</v>
      </c>
      <c r="U6" s="14">
        <f>IF(OR(E6="TN",R6=R$2),"",R6)</f>
        <v>0.10861111111111112</v>
      </c>
      <c r="V6" s="38">
        <f>IF(U6="",V5,V5+1)</f>
        <v>1</v>
      </c>
      <c r="W6" s="14">
        <f>IF(OR(V6&gt;U$2,U6=""),"",U6)</f>
        <v>0.10861111111111112</v>
      </c>
      <c r="X6" s="14">
        <f>IF(U6&lt;W$2,U6,"")</f>
        <v>0.10861111111111112</v>
      </c>
      <c r="Y6" s="38" t="e">
        <f>IF(R6&lt;R$2,ROUND(G6/P6/X$2*1000,0),"")</f>
        <v>#VALUE!</v>
      </c>
      <c r="Z6" s="48" t="e">
        <f>IF(R6&lt;R$2,ROUND((R6-X$2)/X$2,3),"")</f>
        <v>#VALUE!</v>
      </c>
      <c r="AA6" s="38">
        <f>IF(AND(R6&lt;=R7,R6&lt;R$2),1,0)</f>
        <v>1</v>
      </c>
      <c r="AE6" s="53">
        <f>IF($J6="","",C$3)</f>
        <v>43604</v>
      </c>
      <c r="AF6" s="54">
        <f>IF($J6="","",AF5)</f>
        <v>752</v>
      </c>
      <c r="AG6" s="55" t="str">
        <f>IF($J6="","",A$3)</f>
        <v>2019 FCC Fife Regatta restricted sail</v>
      </c>
      <c r="AH6" s="54" t="str">
        <f>IF($J6="","",AH5)</f>
        <v>Div 1</v>
      </c>
      <c r="AI6" s="54" t="e">
        <f>IF($J6="","",I$3*24*3600)</f>
        <v>#VALUE!</v>
      </c>
      <c r="AJ6" s="56" t="str">
        <f>IF($J6="","",A6)</f>
        <v>Pokio</v>
      </c>
      <c r="AK6" s="56" t="str">
        <f>IF($J6="","",B6)</f>
        <v>RS</v>
      </c>
      <c r="AL6" s="56" t="str">
        <f>IF($J6="","",C6)</f>
        <v>K484</v>
      </c>
      <c r="AN6" s="57">
        <f>IF($J6="","",D6)</f>
        <v>1181</v>
      </c>
      <c r="AO6" s="54">
        <f>J6</f>
        <v>1</v>
      </c>
      <c r="AP6" s="58">
        <f>IF($J6="","",F6)</f>
        <v>0.7289583333333334</v>
      </c>
      <c r="AQ6" s="59">
        <f>IF($J6="","",P6)</f>
        <v>1</v>
      </c>
      <c r="AR6" s="54">
        <f>IF($J6="","",G6*24*3600)</f>
        <v>11082.000000000005</v>
      </c>
      <c r="AS6" s="60">
        <f>IF($J6="","",I6*24*3600)</f>
        <v>9384</v>
      </c>
      <c r="AT6" s="54">
        <f>IF($J6="","",K6)</f>
      </c>
      <c r="AU6" s="61"/>
      <c r="AV6" s="59" t="str">
        <f>IF(AND($J6&lt;&gt;"",N6=""),"N","")</f>
        <v>N</v>
      </c>
      <c r="AW6" s="38" t="str">
        <f>IF(AND($J6&lt;&gt;"",L6&gt;0.05),"s","")</f>
        <v>s</v>
      </c>
      <c r="AX6" s="54">
        <f>IF($J6="","",D6)</f>
        <v>1181</v>
      </c>
      <c r="AY6" s="54" t="e">
        <f>IF($J6="","",K6-D6)</f>
        <v>#VALUE!</v>
      </c>
    </row>
    <row r="7" spans="1:51" s="38" customFormat="1" ht="18" customHeight="1">
      <c r="A7" s="62" t="s">
        <v>60</v>
      </c>
      <c r="B7" s="63" t="s">
        <v>62</v>
      </c>
      <c r="C7" s="63">
        <v>1592</v>
      </c>
      <c r="D7" s="1">
        <v>1128</v>
      </c>
      <c r="E7" s="1" t="s">
        <v>63</v>
      </c>
      <c r="F7" s="64" t="s">
        <v>68</v>
      </c>
      <c r="G7" s="14">
        <f>IF(Q7&lt;1,Q7-F$3,"")</f>
      </c>
      <c r="H7" s="65"/>
      <c r="I7" s="14">
        <f>IF(AND(AA$2=1,Q7&lt;1),R7,"")</f>
      </c>
      <c r="J7" s="15">
        <f>IF(AA$2=1,T7,"")</f>
      </c>
      <c r="K7" s="16">
        <f>IF(AND(AA$2=1,AA$3=1,Q7&lt;1),Y7,"")</f>
      </c>
      <c r="L7" s="48">
        <f>IF(AND(AA$2=1,AA$3=1,Q7&lt;1),Z7,"")</f>
      </c>
      <c r="M7" s="16">
        <f>IF(AND(AA$2=1,AA$3=1,R7&gt;W$2,R7&lt;R$2),"Slow","")</f>
      </c>
      <c r="N7" s="14">
        <f>IF(AND(AA$2=1,AA$3=1,X7&lt;1),"yes","")</f>
      </c>
      <c r="O7" s="14"/>
      <c r="P7" s="16">
        <f>IF(H7="",1,H7)</f>
        <v>1</v>
      </c>
      <c r="Q7" s="14" t="str">
        <f>IF(F7=""," ",F7)</f>
        <v>OCS</v>
      </c>
      <c r="R7" s="37">
        <f>IF(AND(Q7&lt;1,D7&gt;1),ROUND(G7/P7*1000/D7*24*3600,0)/(24*3600),R$2)</f>
        <v>41.625</v>
      </c>
      <c r="S7" s="16">
        <f>IF(Q7&lt;1,S6+1,"")</f>
      </c>
      <c r="T7" s="16">
        <f>IF(R7=R6,T6,S7)</f>
      </c>
      <c r="U7" s="14">
        <f>IF(OR(E7="TN",R7=R$2),"",R7)</f>
      </c>
      <c r="V7" s="38">
        <f>IF(U7="",V6,V6+1)</f>
        <v>1</v>
      </c>
      <c r="W7" s="14">
        <f>IF(OR(V7&gt;U$2,U7=""),"",U7)</f>
      </c>
      <c r="X7" s="14">
        <f>IF(U7&lt;W$2,U7,"")</f>
      </c>
      <c r="Y7" s="38">
        <f>IF(R7&lt;R$2,ROUND(G7/P7/X$2*1000,0),"")</f>
      </c>
      <c r="Z7" s="48">
        <f>IF(R7&lt;R$2,ROUND((R7-X$2)/X$2,3),"")</f>
      </c>
      <c r="AA7" s="38">
        <f>IF(AND(R7&lt;=R8,R7&lt;R$2),1,0)</f>
        <v>0</v>
      </c>
      <c r="AE7" s="53">
        <f aca="true" t="shared" si="0" ref="AE7:AE45">IF($J7="","",C$3)</f>
      </c>
      <c r="AF7" s="54">
        <f aca="true" t="shared" si="1" ref="AF7:AF45">IF($J7="","",AF6)</f>
      </c>
      <c r="AG7" s="55">
        <f aca="true" t="shared" si="2" ref="AG7:AG45">IF($J7="","",A$3)</f>
      </c>
      <c r="AH7" s="54">
        <f aca="true" t="shared" si="3" ref="AH7:AH45">IF($J7="","",AH6)</f>
      </c>
      <c r="AI7" s="54">
        <f aca="true" t="shared" si="4" ref="AI7:AI45">IF($J7="","",I$3*24*3600)</f>
      </c>
      <c r="AJ7" s="56">
        <f aca="true" t="shared" si="5" ref="AJ7:AJ45">IF($J7="","",A7)</f>
      </c>
      <c r="AK7" s="56">
        <f aca="true" t="shared" si="6" ref="AK7:AK45">IF($J7="","",B7)</f>
      </c>
      <c r="AL7" s="56">
        <f aca="true" t="shared" si="7" ref="AL7:AL45">IF($J7="","",C7)</f>
      </c>
      <c r="AN7" s="57">
        <f aca="true" t="shared" si="8" ref="AN7:AN45">IF($J7="","",D7)</f>
      </c>
      <c r="AO7" s="54">
        <f aca="true" t="shared" si="9" ref="AO7:AO45">J7</f>
      </c>
      <c r="AP7" s="58">
        <f aca="true" t="shared" si="10" ref="AP7:AP45">IF($J7="","",F7)</f>
      </c>
      <c r="AQ7" s="59">
        <f aca="true" t="shared" si="11" ref="AQ7:AQ45">IF($J7="","",P7)</f>
      </c>
      <c r="AR7" s="54">
        <f aca="true" t="shared" si="12" ref="AR7:AR45">IF($J7="","",G7*24*3600)</f>
      </c>
      <c r="AS7" s="60">
        <f aca="true" t="shared" si="13" ref="AS7:AS45">IF($J7="","",I7*24*3600)</f>
      </c>
      <c r="AT7" s="54">
        <f aca="true" t="shared" si="14" ref="AT7:AT45">IF($J7="","",K7)</f>
      </c>
      <c r="AU7" s="61"/>
      <c r="AV7" s="59">
        <f aca="true" t="shared" si="15" ref="AV7:AV45">IF(AND($J7&lt;&gt;"",N7=""),"N","")</f>
      </c>
      <c r="AW7" s="38">
        <f aca="true" t="shared" si="16" ref="AW7:AW45">IF(AND($J7&lt;&gt;"",L7&gt;0.05),"s","")</f>
      </c>
      <c r="AX7" s="54">
        <f aca="true" t="shared" si="17" ref="AX7:AX45">IF($J7="","",D7)</f>
      </c>
      <c r="AY7" s="54">
        <f aca="true" t="shared" si="18" ref="AY7:AY45">IF($J7="","",K7-D7)</f>
      </c>
    </row>
    <row r="8" spans="1:51" s="38" customFormat="1" ht="18" customHeight="1">
      <c r="A8" s="62" t="s">
        <v>61</v>
      </c>
      <c r="B8" s="63" t="s">
        <v>62</v>
      </c>
      <c r="C8" s="63">
        <v>490</v>
      </c>
      <c r="D8" s="1">
        <v>1131</v>
      </c>
      <c r="E8" s="78" t="s">
        <v>63</v>
      </c>
      <c r="F8" s="79" t="s">
        <v>68</v>
      </c>
      <c r="G8" s="14">
        <f>IF(Q8&lt;1,Q8-F$3,"")</f>
      </c>
      <c r="H8" s="65"/>
      <c r="I8" s="14">
        <f>IF(AND(AA$2=1,Q8&lt;1),R8,"")</f>
      </c>
      <c r="J8" s="15">
        <f>IF(AA$2=1,T8,"")</f>
      </c>
      <c r="K8" s="16">
        <f>IF(AND(AA$2=1,AA$3=1,Q8&lt;1),Y8,"")</f>
      </c>
      <c r="L8" s="48">
        <f>IF(AND(AA$2=1,AA$3=1,Q8&lt;1),Z8,"")</f>
      </c>
      <c r="M8" s="16">
        <f>IF(AND(AA$2=1,AA$3=1,R8&gt;W$2,R8&lt;R$2),"Slow","")</f>
      </c>
      <c r="N8" s="14">
        <f>IF(AND(AA$2=1,AA$3=1,X8&lt;1),"yes","")</f>
      </c>
      <c r="O8" s="14"/>
      <c r="P8" s="16">
        <f>IF(H8="",1,H8)</f>
        <v>1</v>
      </c>
      <c r="Q8" s="14" t="str">
        <f>IF(F8=""," ",F8)</f>
        <v>OCS</v>
      </c>
      <c r="R8" s="37">
        <f>IF(AND(Q8&lt;1,D8&gt;1),ROUND(G8/P8*1000/D8*24*3600,0)/(24*3600),R$2)</f>
        <v>41.625</v>
      </c>
      <c r="S8" s="16">
        <f>IF(Q8&lt;1,S7+1,"")</f>
      </c>
      <c r="T8" s="16">
        <f>IF(R8=R7,T7,S8)</f>
      </c>
      <c r="U8" s="14">
        <f>IF(OR(E8="TN",R8=R$2),"",R8)</f>
      </c>
      <c r="V8" s="38">
        <f>IF(U8="",V7,V7+1)</f>
        <v>1</v>
      </c>
      <c r="W8" s="14">
        <f>IF(OR(V8&gt;U$2,U8=""),"",U8)</f>
      </c>
      <c r="X8" s="14">
        <f>IF(U8&lt;W$2,U8,"")</f>
      </c>
      <c r="Y8" s="38">
        <f>IF(R8&lt;R$2,ROUND(G8/P8/X$2*1000,0),"")</f>
      </c>
      <c r="Z8" s="48">
        <f>IF(R8&lt;R$2,ROUND((R8-X$2)/X$2,3),"")</f>
      </c>
      <c r="AA8" s="38">
        <f>IF(AND(R8&lt;=R9,R8&lt;R$2),1,0)</f>
        <v>0</v>
      </c>
      <c r="AE8" s="53">
        <f t="shared" si="0"/>
      </c>
      <c r="AF8" s="54">
        <f t="shared" si="1"/>
      </c>
      <c r="AG8" s="55">
        <f t="shared" si="2"/>
      </c>
      <c r="AH8" s="54">
        <f t="shared" si="3"/>
      </c>
      <c r="AI8" s="54">
        <f t="shared" si="4"/>
      </c>
      <c r="AJ8" s="56">
        <f t="shared" si="5"/>
      </c>
      <c r="AK8" s="56">
        <f t="shared" si="6"/>
      </c>
      <c r="AL8" s="56">
        <f t="shared" si="7"/>
      </c>
      <c r="AN8" s="57">
        <f t="shared" si="8"/>
      </c>
      <c r="AO8" s="54">
        <f t="shared" si="9"/>
      </c>
      <c r="AP8" s="58">
        <f t="shared" si="10"/>
      </c>
      <c r="AQ8" s="59">
        <f t="shared" si="11"/>
      </c>
      <c r="AR8" s="54">
        <f t="shared" si="12"/>
      </c>
      <c r="AS8" s="60">
        <f t="shared" si="13"/>
      </c>
      <c r="AT8" s="54">
        <f t="shared" si="14"/>
      </c>
      <c r="AU8" s="61"/>
      <c r="AV8" s="59">
        <f t="shared" si="15"/>
      </c>
      <c r="AW8" s="38">
        <f t="shared" si="16"/>
      </c>
      <c r="AX8" s="54">
        <f t="shared" si="17"/>
      </c>
      <c r="AY8" s="54">
        <f t="shared" si="18"/>
      </c>
    </row>
    <row r="9" spans="1:51" s="38" customFormat="1" ht="18" customHeight="1">
      <c r="A9" s="62" t="s">
        <v>66</v>
      </c>
      <c r="B9" s="80" t="s">
        <v>62</v>
      </c>
      <c r="C9" s="63">
        <v>65</v>
      </c>
      <c r="D9" s="1">
        <v>1197</v>
      </c>
      <c r="E9" s="1" t="s">
        <v>63</v>
      </c>
      <c r="F9" s="64" t="s">
        <v>68</v>
      </c>
      <c r="G9" s="14">
        <f>IF(Q9&lt;1,Q9-F$3,"")</f>
      </c>
      <c r="H9" s="65"/>
      <c r="I9" s="14">
        <f>IF(AND(AA$2=1,Q9&lt;1),R9,"")</f>
      </c>
      <c r="J9" s="15">
        <f>IF(AA$2=1,T9,"")</f>
      </c>
      <c r="K9" s="16">
        <f>IF(AND(AA$2=1,AA$3=1,Q9&lt;1),Y9,"")</f>
      </c>
      <c r="L9" s="48">
        <f>IF(AND(AA$2=1,AA$3=1,Q9&lt;1),Z9,"")</f>
      </c>
      <c r="M9" s="16">
        <f>IF(AND(AA$2=1,AA$3=1,R9&gt;W$2,R9&lt;R$2),"Slow","")</f>
      </c>
      <c r="N9" s="14">
        <f>IF(AND(AA$2=1,AA$3=1,X9&lt;1),"yes","")</f>
      </c>
      <c r="O9" s="14"/>
      <c r="P9" s="16">
        <f>IF(H9="",1,H9)</f>
        <v>1</v>
      </c>
      <c r="Q9" s="14" t="str">
        <f>IF(F9=""," ",F9)</f>
        <v>OCS</v>
      </c>
      <c r="R9" s="37">
        <f>IF(AND(Q9&lt;1,D9&gt;1),ROUND(G9/P9*1000/D9*24*3600,0)/(24*3600),R$2)</f>
        <v>41.625</v>
      </c>
      <c r="S9" s="16">
        <f>IF(Q9&lt;1,S8+1,"")</f>
      </c>
      <c r="T9" s="16">
        <f>IF(R9=R8,T8,S9)</f>
      </c>
      <c r="U9" s="14">
        <f>IF(OR(E9="TN",R9=R$2),"",R9)</f>
      </c>
      <c r="V9" s="38">
        <f>IF(U9="",V8,V8+1)</f>
        <v>1</v>
      </c>
      <c r="W9" s="14">
        <f>IF(OR(V9&gt;U$2,U9=""),"",U9)</f>
      </c>
      <c r="X9" s="14">
        <f>IF(U9&lt;W$2,U9,"")</f>
      </c>
      <c r="Y9" s="38">
        <f>IF(R9&lt;R$2,ROUND(G9/P9/X$2*1000,0),"")</f>
      </c>
      <c r="Z9" s="48">
        <f>IF(R9&lt;R$2,ROUND((R9-X$2)/X$2,3),"")</f>
      </c>
      <c r="AA9" s="38">
        <f>IF(AND(R9&lt;=R10,R9&lt;R$2),1,0)</f>
        <v>0</v>
      </c>
      <c r="AE9" s="53">
        <f t="shared" si="0"/>
      </c>
      <c r="AF9" s="54">
        <f t="shared" si="1"/>
      </c>
      <c r="AG9" s="55">
        <f t="shared" si="2"/>
      </c>
      <c r="AH9" s="54">
        <f t="shared" si="3"/>
      </c>
      <c r="AI9" s="54">
        <f t="shared" si="4"/>
      </c>
      <c r="AJ9" s="56">
        <f t="shared" si="5"/>
      </c>
      <c r="AK9" s="56">
        <f t="shared" si="6"/>
      </c>
      <c r="AL9" s="56">
        <f t="shared" si="7"/>
      </c>
      <c r="AN9" s="57">
        <f t="shared" si="8"/>
      </c>
      <c r="AO9" s="54">
        <f t="shared" si="9"/>
      </c>
      <c r="AP9" s="58">
        <f t="shared" si="10"/>
      </c>
      <c r="AQ9" s="59">
        <f t="shared" si="11"/>
      </c>
      <c r="AR9" s="54">
        <f t="shared" si="12"/>
      </c>
      <c r="AS9" s="60">
        <f t="shared" si="13"/>
      </c>
      <c r="AT9" s="54">
        <f t="shared" si="14"/>
      </c>
      <c r="AU9" s="61"/>
      <c r="AV9" s="59">
        <f t="shared" si="15"/>
      </c>
      <c r="AW9" s="38">
        <f t="shared" si="16"/>
      </c>
      <c r="AX9" s="54">
        <f t="shared" si="17"/>
      </c>
      <c r="AY9" s="54">
        <f t="shared" si="18"/>
      </c>
    </row>
    <row r="10" spans="1:51" s="38" customFormat="1" ht="18" customHeight="1">
      <c r="A10" s="62" t="s">
        <v>67</v>
      </c>
      <c r="B10" s="63" t="s">
        <v>62</v>
      </c>
      <c r="C10" s="63">
        <v>424</v>
      </c>
      <c r="D10" s="1">
        <v>1145</v>
      </c>
      <c r="E10" s="1" t="s">
        <v>63</v>
      </c>
      <c r="F10" s="64" t="s">
        <v>68</v>
      </c>
      <c r="G10" s="14">
        <f>IF(Q10&lt;1,Q10-F$3,"")</f>
      </c>
      <c r="H10" s="65"/>
      <c r="I10" s="14">
        <f>IF(AND(AA$2=1,Q10&lt;1),R10,"")</f>
      </c>
      <c r="J10" s="15">
        <f>IF(AA$2=1,T10,"")</f>
      </c>
      <c r="K10" s="16">
        <f>IF(AND(AA$2=1,AA$3=1,Q10&lt;1),Y10,"")</f>
      </c>
      <c r="L10" s="48">
        <f>IF(AND(AA$2=1,AA$3=1,Q10&lt;1),Z10,"")</f>
      </c>
      <c r="M10" s="16">
        <f>IF(AND(AA$2=1,AA$3=1,R10&gt;W$2,R10&lt;R$2),"Slow","")</f>
      </c>
      <c r="N10" s="14">
        <f>IF(AND(AA$2=1,AA$3=1,X10&lt;1),"yes","")</f>
      </c>
      <c r="O10" s="14"/>
      <c r="P10" s="16">
        <f>IF(H10="",1,H10)</f>
        <v>1</v>
      </c>
      <c r="Q10" s="14" t="str">
        <f>IF(F10=""," ",F10)</f>
        <v>OCS</v>
      </c>
      <c r="R10" s="37">
        <f>IF(AND(Q10&lt;1,D10&gt;1),ROUND(G10/P10*1000/D10*24*3600,0)/(24*3600),R$2)</f>
        <v>41.625</v>
      </c>
      <c r="S10" s="16">
        <f>IF(Q10&lt;1,S9+1,"")</f>
      </c>
      <c r="T10" s="16">
        <f>IF(R10=R9,T9,S10)</f>
      </c>
      <c r="U10" s="14">
        <f>IF(OR(E10="TN",R10=R$2),"",R10)</f>
      </c>
      <c r="V10" s="38">
        <f>IF(U10="",V9,V9+1)</f>
        <v>1</v>
      </c>
      <c r="W10" s="14">
        <f>IF(OR(V10&gt;U$2,U10=""),"",U10)</f>
      </c>
      <c r="X10" s="14">
        <f>IF(U10&lt;W$2,U10,"")</f>
      </c>
      <c r="Y10" s="38">
        <f>IF(R10&lt;R$2,ROUND(G10/P10/X$2*1000,0),"")</f>
      </c>
      <c r="Z10" s="48">
        <f>IF(R10&lt;R$2,ROUND((R10-X$2)/X$2,3),"")</f>
      </c>
      <c r="AA10" s="38">
        <f>IF(AND(R10&lt;=R11,R10&lt;R$2),1,0)</f>
        <v>0</v>
      </c>
      <c r="AE10" s="53">
        <f t="shared" si="0"/>
      </c>
      <c r="AF10" s="54">
        <f t="shared" si="1"/>
      </c>
      <c r="AG10" s="55">
        <f t="shared" si="2"/>
      </c>
      <c r="AH10" s="54">
        <f t="shared" si="3"/>
      </c>
      <c r="AI10" s="54">
        <f t="shared" si="4"/>
      </c>
      <c r="AJ10" s="56">
        <f t="shared" si="5"/>
      </c>
      <c r="AK10" s="56">
        <f t="shared" si="6"/>
      </c>
      <c r="AL10" s="56">
        <f t="shared" si="7"/>
      </c>
      <c r="AN10" s="57">
        <f t="shared" si="8"/>
      </c>
      <c r="AO10" s="54">
        <f t="shared" si="9"/>
      </c>
      <c r="AP10" s="58">
        <f t="shared" si="10"/>
      </c>
      <c r="AQ10" s="59">
        <f t="shared" si="11"/>
      </c>
      <c r="AR10" s="54">
        <f t="shared" si="12"/>
      </c>
      <c r="AS10" s="60">
        <f t="shared" si="13"/>
      </c>
      <c r="AT10" s="54">
        <f t="shared" si="14"/>
      </c>
      <c r="AU10" s="61"/>
      <c r="AV10" s="59">
        <f t="shared" si="15"/>
      </c>
      <c r="AW10" s="38">
        <f t="shared" si="16"/>
      </c>
      <c r="AX10" s="54">
        <f t="shared" si="17"/>
      </c>
      <c r="AY10" s="54">
        <f t="shared" si="18"/>
      </c>
    </row>
    <row r="11" spans="1:51" s="38" customFormat="1" ht="18" customHeight="1">
      <c r="A11" s="62"/>
      <c r="B11" s="63"/>
      <c r="C11" s="63"/>
      <c r="D11" s="1"/>
      <c r="E11" s="1"/>
      <c r="F11" s="64"/>
      <c r="G11" s="14">
        <f>IF(Q11&lt;1,Q11-F$3,"")</f>
      </c>
      <c r="H11" s="65"/>
      <c r="I11" s="14">
        <f>IF(AND(AA$2=1,Q11&lt;1),R11,"")</f>
      </c>
      <c r="J11" s="15">
        <f>IF(AA$2=1,T11,"")</f>
      </c>
      <c r="K11" s="16">
        <f>IF(AND(AA$2=1,AA$3=1,Q11&lt;1),Y11,"")</f>
      </c>
      <c r="L11" s="48">
        <f>IF(AND(AA$2=1,AA$3=1,Q11&lt;1),Z11,"")</f>
      </c>
      <c r="M11" s="16">
        <f>IF(AND(AA$2=1,AA$3=1,R11&gt;W$2,R11&lt;R$2),"Slow","")</f>
      </c>
      <c r="N11" s="14">
        <f>IF(AND(AA$2=1,AA$3=1,X11&lt;1),"yes","")</f>
      </c>
      <c r="O11" s="14"/>
      <c r="P11" s="16">
        <f>IF(H11="",1,H11)</f>
        <v>1</v>
      </c>
      <c r="Q11" s="14" t="str">
        <f>IF(F11=""," ",F11)</f>
        <v> </v>
      </c>
      <c r="R11" s="37">
        <f>IF(AND(Q11&lt;1,D11&gt;1),ROUND(G11/P11*1000/D11*24*3600,0)/(24*3600),R$2)</f>
        <v>41.625</v>
      </c>
      <c r="S11" s="16">
        <f>IF(Q11&lt;1,S10+1,"")</f>
      </c>
      <c r="T11" s="16">
        <f>IF(R11=R10,T10,S11)</f>
      </c>
      <c r="U11" s="14">
        <f>IF(OR(E11="TN",R11=R$2),"",R11)</f>
      </c>
      <c r="V11" s="38">
        <f>IF(U11="",V10,V10+1)</f>
        <v>1</v>
      </c>
      <c r="W11" s="14">
        <f>IF(OR(V11&gt;U$2,U11=""),"",U11)</f>
      </c>
      <c r="X11" s="14">
        <f>IF(U11&lt;W$2,U11,"")</f>
      </c>
      <c r="Y11" s="38">
        <f>IF(R11&lt;R$2,ROUND(G11/P11/X$2*1000,0),"")</f>
      </c>
      <c r="Z11" s="48">
        <f>IF(R11&lt;R$2,ROUND((R11-X$2)/X$2,3),"")</f>
      </c>
      <c r="AA11" s="38">
        <f>IF(AND(R11&lt;=R12,R11&lt;R$2),1,0)</f>
        <v>0</v>
      </c>
      <c r="AE11" s="53">
        <f t="shared" si="0"/>
      </c>
      <c r="AF11" s="54">
        <f t="shared" si="1"/>
      </c>
      <c r="AG11" s="55">
        <f t="shared" si="2"/>
      </c>
      <c r="AH11" s="54">
        <f t="shared" si="3"/>
      </c>
      <c r="AI11" s="54">
        <f t="shared" si="4"/>
      </c>
      <c r="AJ11" s="56">
        <f t="shared" si="5"/>
      </c>
      <c r="AK11" s="56">
        <f t="shared" si="6"/>
      </c>
      <c r="AL11" s="56">
        <f t="shared" si="7"/>
      </c>
      <c r="AN11" s="57">
        <f t="shared" si="8"/>
      </c>
      <c r="AO11" s="54">
        <f t="shared" si="9"/>
      </c>
      <c r="AP11" s="58">
        <f t="shared" si="10"/>
      </c>
      <c r="AQ11" s="59">
        <f t="shared" si="11"/>
      </c>
      <c r="AR11" s="54">
        <f t="shared" si="12"/>
      </c>
      <c r="AS11" s="60">
        <f t="shared" si="13"/>
      </c>
      <c r="AT11" s="54">
        <f t="shared" si="14"/>
      </c>
      <c r="AU11" s="61"/>
      <c r="AV11" s="59">
        <f t="shared" si="15"/>
      </c>
      <c r="AW11" s="38">
        <f t="shared" si="16"/>
      </c>
      <c r="AX11" s="54">
        <f t="shared" si="17"/>
      </c>
      <c r="AY11" s="54">
        <f t="shared" si="18"/>
      </c>
    </row>
    <row r="12" spans="1:51" s="38" customFormat="1" ht="18" customHeight="1">
      <c r="A12" s="62"/>
      <c r="B12" s="63"/>
      <c r="C12" s="63"/>
      <c r="D12" s="1"/>
      <c r="E12" s="1"/>
      <c r="F12" s="64"/>
      <c r="G12" s="14">
        <f>IF(Q12&lt;1,Q12-F$3,"")</f>
      </c>
      <c r="H12" s="65"/>
      <c r="I12" s="14">
        <f>IF(AND(AA$2=1,Q12&lt;1),R12,"")</f>
      </c>
      <c r="J12" s="15">
        <f>IF(AA$2=1,T12,"")</f>
      </c>
      <c r="K12" s="16">
        <f>IF(AND(AA$2=1,AA$3=1,Q12&lt;1),Y12,"")</f>
      </c>
      <c r="L12" s="48">
        <f>IF(AND(AA$2=1,AA$3=1,Q12&lt;1),Z12,"")</f>
      </c>
      <c r="M12" s="16">
        <f>IF(AND(AA$2=1,AA$3=1,R12&gt;W$2,R12&lt;R$2),"Slow","")</f>
      </c>
      <c r="N12" s="14">
        <f>IF(AND(AA$2=1,AA$3=1,X12&lt;1),"yes","")</f>
      </c>
      <c r="O12" s="14"/>
      <c r="P12" s="16">
        <f>IF(H12="",1,H12)</f>
        <v>1</v>
      </c>
      <c r="Q12" s="14" t="str">
        <f>IF(F12=""," ",F12)</f>
        <v> </v>
      </c>
      <c r="R12" s="37">
        <f>IF(AND(Q12&lt;1,D12&gt;1),ROUND(G12/P12*1000/D12*24*3600,0)/(24*3600),R$2)</f>
        <v>41.625</v>
      </c>
      <c r="S12" s="16">
        <f>IF(Q12&lt;1,S11+1,"")</f>
      </c>
      <c r="T12" s="16">
        <f>IF(R12=R11,T11,S12)</f>
      </c>
      <c r="U12" s="14">
        <f>IF(OR(E12="TN",R12=R$2),"",R12)</f>
      </c>
      <c r="V12" s="38">
        <f>IF(U12="",V11,V11+1)</f>
        <v>1</v>
      </c>
      <c r="W12" s="14">
        <f>IF(OR(V12&gt;U$2,U12=""),"",U12)</f>
      </c>
      <c r="X12" s="14">
        <f>IF(U12&lt;W$2,U12,"")</f>
      </c>
      <c r="Y12" s="38">
        <f>IF(R12&lt;R$2,ROUND(G12/P12/X$2*1000,0),"")</f>
      </c>
      <c r="Z12" s="48">
        <f>IF(R12&lt;R$2,ROUND((R12-X$2)/X$2,3),"")</f>
      </c>
      <c r="AA12" s="38">
        <f>IF(AND(R12&lt;=R13,R12&lt;R$2),1,0)</f>
        <v>0</v>
      </c>
      <c r="AE12" s="53">
        <f t="shared" si="0"/>
      </c>
      <c r="AF12" s="54">
        <f t="shared" si="1"/>
      </c>
      <c r="AG12" s="55">
        <f t="shared" si="2"/>
      </c>
      <c r="AH12" s="54">
        <f t="shared" si="3"/>
      </c>
      <c r="AI12" s="54">
        <f t="shared" si="4"/>
      </c>
      <c r="AJ12" s="56">
        <f t="shared" si="5"/>
      </c>
      <c r="AK12" s="56">
        <f t="shared" si="6"/>
      </c>
      <c r="AL12" s="56">
        <f t="shared" si="7"/>
      </c>
      <c r="AN12" s="57">
        <f t="shared" si="8"/>
      </c>
      <c r="AO12" s="54">
        <f t="shared" si="9"/>
      </c>
      <c r="AP12" s="58">
        <f t="shared" si="10"/>
      </c>
      <c r="AQ12" s="59">
        <f t="shared" si="11"/>
      </c>
      <c r="AR12" s="54">
        <f t="shared" si="12"/>
      </c>
      <c r="AS12" s="60">
        <f t="shared" si="13"/>
      </c>
      <c r="AT12" s="54">
        <f t="shared" si="14"/>
      </c>
      <c r="AU12" s="61"/>
      <c r="AV12" s="59">
        <f t="shared" si="15"/>
      </c>
      <c r="AW12" s="38">
        <f t="shared" si="16"/>
      </c>
      <c r="AX12" s="54">
        <f t="shared" si="17"/>
      </c>
      <c r="AY12" s="54">
        <f t="shared" si="18"/>
      </c>
    </row>
    <row r="13" spans="1:51" s="38" customFormat="1" ht="18" customHeight="1">
      <c r="A13" s="62"/>
      <c r="B13" s="63"/>
      <c r="C13" s="63"/>
      <c r="D13" s="1"/>
      <c r="E13" s="1"/>
      <c r="F13" s="64"/>
      <c r="G13" s="14">
        <f>IF(Q13&lt;1,Q13-F$3,"")</f>
      </c>
      <c r="H13" s="65"/>
      <c r="I13" s="14">
        <f>IF(AND(AA$2=1,Q13&lt;1),R13,"")</f>
      </c>
      <c r="J13" s="15">
        <f>IF(AA$2=1,T13,"")</f>
      </c>
      <c r="K13" s="16">
        <f>IF(AND(AA$2=1,AA$3=1,Q13&lt;1),Y13,"")</f>
      </c>
      <c r="L13" s="48">
        <f>IF(AND(AA$2=1,AA$3=1,Q13&lt;1),Z13,"")</f>
      </c>
      <c r="M13" s="16">
        <f>IF(AND(AA$2=1,AA$3=1,R13&gt;W$2,R13&lt;R$2),"Slow","")</f>
      </c>
      <c r="N13" s="14">
        <f>IF(AND(AA$2=1,AA$3=1,X13&lt;1),"yes","")</f>
      </c>
      <c r="O13" s="14"/>
      <c r="P13" s="16">
        <f>IF(H13="",1,H13)</f>
        <v>1</v>
      </c>
      <c r="Q13" s="14" t="str">
        <f>IF(F13=""," ",F13)</f>
        <v> </v>
      </c>
      <c r="R13" s="37">
        <f>IF(AND(Q13&lt;1,D13&gt;1),ROUND(G13/P13*1000/D13*24*3600,0)/(24*3600),R$2)</f>
        <v>41.625</v>
      </c>
      <c r="S13" s="16">
        <f>IF(Q13&lt;1,S12+1,"")</f>
      </c>
      <c r="T13" s="16">
        <f>IF(R13=R12,T12,S13)</f>
      </c>
      <c r="U13" s="14">
        <f>IF(OR(E13="TN",R13=R$2),"",R13)</f>
      </c>
      <c r="V13" s="38">
        <f>IF(U13="",V12,V12+1)</f>
        <v>1</v>
      </c>
      <c r="W13" s="14">
        <f>IF(OR(V13&gt;U$2,U13=""),"",U13)</f>
      </c>
      <c r="X13" s="14">
        <f>IF(U13&lt;W$2,U13,"")</f>
      </c>
      <c r="Y13" s="38">
        <f>IF(R13&lt;R$2,ROUND(G13/P13/X$2*1000,0),"")</f>
      </c>
      <c r="Z13" s="48">
        <f>IF(R13&lt;R$2,ROUND((R13-X$2)/X$2,3),"")</f>
      </c>
      <c r="AA13" s="38">
        <f>IF(AND(R13&lt;=R14,R13&lt;R$2),1,0)</f>
        <v>0</v>
      </c>
      <c r="AE13" s="53">
        <f t="shared" si="0"/>
      </c>
      <c r="AF13" s="54">
        <f t="shared" si="1"/>
      </c>
      <c r="AG13" s="55">
        <f t="shared" si="2"/>
      </c>
      <c r="AH13" s="54">
        <f t="shared" si="3"/>
      </c>
      <c r="AI13" s="54">
        <f t="shared" si="4"/>
      </c>
      <c r="AJ13" s="56">
        <f t="shared" si="5"/>
      </c>
      <c r="AK13" s="56">
        <f t="shared" si="6"/>
      </c>
      <c r="AL13" s="56">
        <f t="shared" si="7"/>
      </c>
      <c r="AN13" s="57">
        <f t="shared" si="8"/>
      </c>
      <c r="AO13" s="54">
        <f t="shared" si="9"/>
      </c>
      <c r="AP13" s="58">
        <f t="shared" si="10"/>
      </c>
      <c r="AQ13" s="59">
        <f t="shared" si="11"/>
      </c>
      <c r="AR13" s="54">
        <f t="shared" si="12"/>
      </c>
      <c r="AS13" s="60">
        <f t="shared" si="13"/>
      </c>
      <c r="AT13" s="54">
        <f t="shared" si="14"/>
      </c>
      <c r="AU13" s="61"/>
      <c r="AV13" s="59">
        <f t="shared" si="15"/>
      </c>
      <c r="AW13" s="38">
        <f t="shared" si="16"/>
      </c>
      <c r="AX13" s="54">
        <f t="shared" si="17"/>
      </c>
      <c r="AY13" s="54">
        <f t="shared" si="18"/>
      </c>
    </row>
    <row r="14" spans="1:51" s="38" customFormat="1" ht="18" customHeight="1">
      <c r="A14" s="62"/>
      <c r="B14" s="63"/>
      <c r="C14" s="63"/>
      <c r="D14" s="1"/>
      <c r="E14" s="1"/>
      <c r="F14" s="64"/>
      <c r="G14" s="14">
        <f>IF(Q14&lt;1,Q14-F$3,"")</f>
      </c>
      <c r="H14" s="65"/>
      <c r="I14" s="14">
        <f>IF(AND(AA$2=1,Q14&lt;1),R14,"")</f>
      </c>
      <c r="J14" s="15">
        <f>IF(AA$2=1,T14,"")</f>
      </c>
      <c r="K14" s="16">
        <f>IF(AND(AA$2=1,AA$3=1,Q14&lt;1),Y14,"")</f>
      </c>
      <c r="L14" s="48">
        <f>IF(AND(AA$2=1,AA$3=1,Q14&lt;1),Z14,"")</f>
      </c>
      <c r="M14" s="16">
        <f>IF(AND(AA$2=1,AA$3=1,R14&gt;W$2,R14&lt;R$2),"Slow","")</f>
      </c>
      <c r="N14" s="14">
        <f>IF(AND(AA$2=1,AA$3=1,X14&lt;1),"yes","")</f>
      </c>
      <c r="O14" s="14"/>
      <c r="P14" s="16">
        <f>IF(H14="",1,H14)</f>
        <v>1</v>
      </c>
      <c r="Q14" s="14" t="str">
        <f>IF(F14=""," ",F14)</f>
        <v> </v>
      </c>
      <c r="R14" s="37">
        <f>IF(AND(Q14&lt;1,D14&gt;1),ROUND(G14/P14*1000/D14*24*3600,0)/(24*3600),R$2)</f>
        <v>41.625</v>
      </c>
      <c r="S14" s="16">
        <f>IF(Q14&lt;1,S13+1,"")</f>
      </c>
      <c r="T14" s="16">
        <f>IF(R14=R13,T13,S14)</f>
      </c>
      <c r="U14" s="14">
        <f>IF(OR(E14="TN",R14=R$2),"",R14)</f>
      </c>
      <c r="V14" s="38">
        <f>IF(U14="",V13,V13+1)</f>
        <v>1</v>
      </c>
      <c r="W14" s="14">
        <f>IF(OR(V14&gt;U$2,U14=""),"",U14)</f>
      </c>
      <c r="X14" s="14">
        <f>IF(U14&lt;W$2,U14,"")</f>
      </c>
      <c r="Y14" s="38">
        <f>IF(R14&lt;R$2,ROUND(G14/P14/X$2*1000,0),"")</f>
      </c>
      <c r="Z14" s="48">
        <f>IF(R14&lt;R$2,ROUND((R14-X$2)/X$2,3),"")</f>
      </c>
      <c r="AA14" s="38">
        <f>IF(AND(R14&lt;=R15,R14&lt;R$2),1,0)</f>
        <v>0</v>
      </c>
      <c r="AE14" s="53">
        <f t="shared" si="0"/>
      </c>
      <c r="AF14" s="54">
        <f t="shared" si="1"/>
      </c>
      <c r="AG14" s="55">
        <f t="shared" si="2"/>
      </c>
      <c r="AH14" s="54">
        <f t="shared" si="3"/>
      </c>
      <c r="AI14" s="54">
        <f t="shared" si="4"/>
      </c>
      <c r="AJ14" s="56">
        <f t="shared" si="5"/>
      </c>
      <c r="AK14" s="56">
        <f t="shared" si="6"/>
      </c>
      <c r="AL14" s="56">
        <f t="shared" si="7"/>
      </c>
      <c r="AN14" s="57">
        <f t="shared" si="8"/>
      </c>
      <c r="AO14" s="54">
        <f t="shared" si="9"/>
      </c>
      <c r="AP14" s="58">
        <f t="shared" si="10"/>
      </c>
      <c r="AQ14" s="59">
        <f t="shared" si="11"/>
      </c>
      <c r="AR14" s="54">
        <f t="shared" si="12"/>
      </c>
      <c r="AS14" s="60">
        <f t="shared" si="13"/>
      </c>
      <c r="AT14" s="54">
        <f t="shared" si="14"/>
      </c>
      <c r="AU14" s="61"/>
      <c r="AV14" s="59">
        <f t="shared" si="15"/>
      </c>
      <c r="AW14" s="38">
        <f t="shared" si="16"/>
      </c>
      <c r="AX14" s="54">
        <f t="shared" si="17"/>
      </c>
      <c r="AY14" s="54">
        <f t="shared" si="18"/>
      </c>
    </row>
    <row r="15" spans="1:51" s="38" customFormat="1" ht="18" customHeight="1">
      <c r="A15" s="62"/>
      <c r="B15" s="63"/>
      <c r="C15" s="63"/>
      <c r="D15" s="1"/>
      <c r="E15" s="1"/>
      <c r="F15" s="64"/>
      <c r="G15" s="14">
        <f>IF(Q15&lt;1,Q15-F$3,"")</f>
      </c>
      <c r="H15" s="65"/>
      <c r="I15" s="14">
        <f>IF(AND(AA$2=1,Q15&lt;1),R15,"")</f>
      </c>
      <c r="J15" s="15">
        <f>IF(AA$2=1,T15,"")</f>
      </c>
      <c r="K15" s="16">
        <f>IF(AND(AA$2=1,AA$3=1,Q15&lt;1),Y15,"")</f>
      </c>
      <c r="L15" s="48">
        <f>IF(AND(AA$2=1,AA$3=1,Q15&lt;1),Z15,"")</f>
      </c>
      <c r="M15" s="16">
        <f>IF(AND(AA$2=1,AA$3=1,R15&gt;W$2,R15&lt;R$2),"Slow","")</f>
      </c>
      <c r="N15" s="14">
        <f>IF(AND(AA$2=1,AA$3=1,X15&lt;1),"yes","")</f>
      </c>
      <c r="O15" s="14"/>
      <c r="P15" s="16">
        <f>IF(H15="",1,H15)</f>
        <v>1</v>
      </c>
      <c r="Q15" s="14" t="str">
        <f>IF(F15=""," ",F15)</f>
        <v> </v>
      </c>
      <c r="R15" s="37">
        <f>IF(AND(Q15&lt;1,D15&gt;1),ROUND(G15/P15*1000/D15*24*3600,0)/(24*3600),R$2)</f>
        <v>41.625</v>
      </c>
      <c r="S15" s="16">
        <f>IF(Q15&lt;1,S14+1,"")</f>
      </c>
      <c r="T15" s="16">
        <f>IF(R15=R14,T14,S15)</f>
      </c>
      <c r="U15" s="14">
        <f>IF(OR(E15="TN",R15=R$2),"",R15)</f>
      </c>
      <c r="V15" s="38">
        <f>IF(U15="",V14,V14+1)</f>
        <v>1</v>
      </c>
      <c r="W15" s="14">
        <f>IF(OR(V15&gt;U$2,U15=""),"",U15)</f>
      </c>
      <c r="X15" s="14">
        <f>IF(U15&lt;W$2,U15,"")</f>
      </c>
      <c r="Y15" s="38">
        <f>IF(R15&lt;R$2,ROUND(G15/P15/X$2*1000,0),"")</f>
      </c>
      <c r="Z15" s="48">
        <f>IF(R15&lt;R$2,ROUND((R15-X$2)/X$2,3),"")</f>
      </c>
      <c r="AA15" s="38">
        <f>IF(AND(R15&lt;=R16,R15&lt;R$2),1,0)</f>
        <v>0</v>
      </c>
      <c r="AE15" s="53">
        <f t="shared" si="0"/>
      </c>
      <c r="AF15" s="54">
        <f t="shared" si="1"/>
      </c>
      <c r="AG15" s="55">
        <f t="shared" si="2"/>
      </c>
      <c r="AH15" s="54">
        <f t="shared" si="3"/>
      </c>
      <c r="AI15" s="54">
        <f t="shared" si="4"/>
      </c>
      <c r="AJ15" s="56">
        <f t="shared" si="5"/>
      </c>
      <c r="AK15" s="56">
        <f t="shared" si="6"/>
      </c>
      <c r="AL15" s="56">
        <f t="shared" si="7"/>
      </c>
      <c r="AN15" s="57">
        <f t="shared" si="8"/>
      </c>
      <c r="AO15" s="54">
        <f t="shared" si="9"/>
      </c>
      <c r="AP15" s="58">
        <f t="shared" si="10"/>
      </c>
      <c r="AQ15" s="59">
        <f t="shared" si="11"/>
      </c>
      <c r="AR15" s="54">
        <f t="shared" si="12"/>
      </c>
      <c r="AS15" s="60">
        <f t="shared" si="13"/>
      </c>
      <c r="AT15" s="54">
        <f t="shared" si="14"/>
      </c>
      <c r="AU15" s="61"/>
      <c r="AV15" s="59">
        <f t="shared" si="15"/>
      </c>
      <c r="AW15" s="38">
        <f t="shared" si="16"/>
      </c>
      <c r="AX15" s="54">
        <f t="shared" si="17"/>
      </c>
      <c r="AY15" s="54">
        <f t="shared" si="18"/>
      </c>
    </row>
    <row r="16" spans="1:51" s="38" customFormat="1" ht="18" customHeight="1">
      <c r="A16" s="62"/>
      <c r="B16" s="63"/>
      <c r="C16" s="63"/>
      <c r="D16" s="1"/>
      <c r="E16" s="1"/>
      <c r="F16" s="64"/>
      <c r="G16" s="14">
        <f>IF(Q16&lt;1,Q16-F$3,"")</f>
      </c>
      <c r="H16" s="65"/>
      <c r="I16" s="14">
        <f>IF(AND(AA$2=1,Q16&lt;1),R16,"")</f>
      </c>
      <c r="J16" s="15">
        <f>IF(AA$2=1,T16,"")</f>
      </c>
      <c r="K16" s="16">
        <f>IF(AND(AA$2=1,AA$3=1,Q16&lt;1),Y16,"")</f>
      </c>
      <c r="L16" s="48">
        <f>IF(AND(AA$2=1,AA$3=1,Q16&lt;1),Z16,"")</f>
      </c>
      <c r="M16" s="16">
        <f>IF(AND(AA$2=1,AA$3=1,R16&gt;W$2,R16&lt;R$2),"Slow","")</f>
      </c>
      <c r="N16" s="14">
        <f>IF(AND(AA$2=1,AA$3=1,X16&lt;1),"yes","")</f>
      </c>
      <c r="O16" s="14"/>
      <c r="P16" s="16">
        <f>IF(H16="",1,H16)</f>
        <v>1</v>
      </c>
      <c r="Q16" s="14" t="str">
        <f>IF(F16=""," ",F16)</f>
        <v> </v>
      </c>
      <c r="R16" s="37">
        <f>IF(AND(Q16&lt;1,D16&gt;1),ROUND(G16/P16*1000/D16*24*3600,0)/(24*3600),R$2)</f>
        <v>41.625</v>
      </c>
      <c r="S16" s="16">
        <f>IF(Q16&lt;1,S15+1,"")</f>
      </c>
      <c r="T16" s="16">
        <f>IF(R16=R15,T15,S16)</f>
      </c>
      <c r="U16" s="14">
        <f>IF(OR(E16="TN",R16=R$2),"",R16)</f>
      </c>
      <c r="V16" s="38">
        <f>IF(U16="",V15,V15+1)</f>
        <v>1</v>
      </c>
      <c r="W16" s="14">
        <f>IF(OR(V16&gt;U$2,U16=""),"",U16)</f>
      </c>
      <c r="X16" s="14">
        <f>IF(U16&lt;W$2,U16,"")</f>
      </c>
      <c r="Y16" s="38">
        <f>IF(R16&lt;R$2,ROUND(G16/P16/X$2*1000,0),"")</f>
      </c>
      <c r="Z16" s="48">
        <f>IF(R16&lt;R$2,ROUND((R16-X$2)/X$2,3),"")</f>
      </c>
      <c r="AA16" s="38">
        <f>IF(AND(R16&lt;=R17,R16&lt;R$2),1,0)</f>
        <v>0</v>
      </c>
      <c r="AE16" s="53">
        <f t="shared" si="0"/>
      </c>
      <c r="AF16" s="54">
        <f t="shared" si="1"/>
      </c>
      <c r="AG16" s="55">
        <f t="shared" si="2"/>
      </c>
      <c r="AH16" s="54">
        <f t="shared" si="3"/>
      </c>
      <c r="AI16" s="54">
        <f t="shared" si="4"/>
      </c>
      <c r="AJ16" s="56">
        <f t="shared" si="5"/>
      </c>
      <c r="AK16" s="56">
        <f t="shared" si="6"/>
      </c>
      <c r="AL16" s="56">
        <f t="shared" si="7"/>
      </c>
      <c r="AN16" s="57">
        <f t="shared" si="8"/>
      </c>
      <c r="AO16" s="54">
        <f t="shared" si="9"/>
      </c>
      <c r="AP16" s="58">
        <f t="shared" si="10"/>
      </c>
      <c r="AQ16" s="59">
        <f t="shared" si="11"/>
      </c>
      <c r="AR16" s="54">
        <f t="shared" si="12"/>
      </c>
      <c r="AS16" s="60">
        <f t="shared" si="13"/>
      </c>
      <c r="AT16" s="54">
        <f t="shared" si="14"/>
      </c>
      <c r="AU16" s="61"/>
      <c r="AV16" s="59">
        <f t="shared" si="15"/>
      </c>
      <c r="AW16" s="38">
        <f t="shared" si="16"/>
      </c>
      <c r="AX16" s="54">
        <f t="shared" si="17"/>
      </c>
      <c r="AY16" s="54">
        <f t="shared" si="18"/>
      </c>
    </row>
    <row r="17" spans="1:51" s="38" customFormat="1" ht="18" customHeight="1">
      <c r="A17" s="62"/>
      <c r="B17" s="63"/>
      <c r="C17" s="63"/>
      <c r="D17" s="1"/>
      <c r="E17" s="1"/>
      <c r="F17" s="64"/>
      <c r="G17" s="14">
        <f>IF(Q17&lt;1,Q17-F$3,"")</f>
      </c>
      <c r="H17" s="65"/>
      <c r="I17" s="14">
        <f>IF(AND(AA$2=1,Q17&lt;1),R17,"")</f>
      </c>
      <c r="J17" s="15">
        <f>IF(AA$2=1,T17,"")</f>
      </c>
      <c r="K17" s="16">
        <f>IF(AND(AA$2=1,AA$3=1,Q17&lt;1),Y17,"")</f>
      </c>
      <c r="L17" s="48">
        <f>IF(AND(AA$2=1,AA$3=1,Q17&lt;1),Z17,"")</f>
      </c>
      <c r="M17" s="16">
        <f>IF(AND(AA$2=1,AA$3=1,R17&gt;W$2,R17&lt;R$2),"Slow","")</f>
      </c>
      <c r="N17" s="14">
        <f>IF(AND(AA$2=1,AA$3=1,X17&lt;1),"yes","")</f>
      </c>
      <c r="O17" s="14"/>
      <c r="P17" s="16">
        <f>IF(H17="",1,H17)</f>
        <v>1</v>
      </c>
      <c r="Q17" s="14" t="str">
        <f>IF(F17=""," ",F17)</f>
        <v> </v>
      </c>
      <c r="R17" s="37">
        <f>IF(AND(Q17&lt;1,D17&gt;1),ROUND(G17/P17*1000/D17*24*3600,0)/(24*3600),R$2)</f>
        <v>41.625</v>
      </c>
      <c r="S17" s="16">
        <f>IF(Q17&lt;1,S16+1,"")</f>
      </c>
      <c r="T17" s="16">
        <f>IF(R17=R16,T16,S17)</f>
      </c>
      <c r="U17" s="14">
        <f>IF(OR(E17="TN",R17=R$2),"",R17)</f>
      </c>
      <c r="V17" s="38">
        <f>IF(U17="",V16,V16+1)</f>
        <v>1</v>
      </c>
      <c r="W17" s="14">
        <f>IF(OR(V17&gt;U$2,U17=""),"",U17)</f>
      </c>
      <c r="X17" s="14">
        <f>IF(U17&lt;W$2,U17,"")</f>
      </c>
      <c r="Y17" s="38">
        <f>IF(R17&lt;R$2,ROUND(G17/P17/X$2*1000,0),"")</f>
      </c>
      <c r="Z17" s="48">
        <f>IF(R17&lt;R$2,ROUND((R17-X$2)/X$2,3),"")</f>
      </c>
      <c r="AA17" s="38">
        <f>IF(AND(R17&lt;=R18,R17&lt;R$2),1,0)</f>
        <v>0</v>
      </c>
      <c r="AE17" s="53">
        <f t="shared" si="0"/>
      </c>
      <c r="AF17" s="54">
        <f t="shared" si="1"/>
      </c>
      <c r="AG17" s="55">
        <f t="shared" si="2"/>
      </c>
      <c r="AH17" s="54">
        <f t="shared" si="3"/>
      </c>
      <c r="AI17" s="54">
        <f t="shared" si="4"/>
      </c>
      <c r="AJ17" s="56">
        <f t="shared" si="5"/>
      </c>
      <c r="AK17" s="56">
        <f t="shared" si="6"/>
      </c>
      <c r="AL17" s="56">
        <f t="shared" si="7"/>
      </c>
      <c r="AN17" s="57">
        <f t="shared" si="8"/>
      </c>
      <c r="AO17" s="54">
        <f t="shared" si="9"/>
      </c>
      <c r="AP17" s="58">
        <f t="shared" si="10"/>
      </c>
      <c r="AQ17" s="59">
        <f t="shared" si="11"/>
      </c>
      <c r="AR17" s="54">
        <f t="shared" si="12"/>
      </c>
      <c r="AS17" s="60">
        <f t="shared" si="13"/>
      </c>
      <c r="AT17" s="54">
        <f t="shared" si="14"/>
      </c>
      <c r="AU17" s="61"/>
      <c r="AV17" s="59">
        <f t="shared" si="15"/>
      </c>
      <c r="AW17" s="38">
        <f t="shared" si="16"/>
      </c>
      <c r="AX17" s="54">
        <f t="shared" si="17"/>
      </c>
      <c r="AY17" s="54">
        <f t="shared" si="18"/>
      </c>
    </row>
    <row r="18" spans="1:51" s="38" customFormat="1" ht="18" customHeight="1">
      <c r="A18" s="62"/>
      <c r="B18" s="63"/>
      <c r="C18" s="63"/>
      <c r="D18" s="1"/>
      <c r="E18" s="1"/>
      <c r="F18" s="64"/>
      <c r="G18" s="14">
        <f>IF(Q18&lt;1,Q18-F$3,"")</f>
      </c>
      <c r="H18" s="65"/>
      <c r="I18" s="14">
        <f>IF(AND(AA$2=1,Q18&lt;1),R18,"")</f>
      </c>
      <c r="J18" s="15">
        <f>IF(AA$2=1,T18,"")</f>
      </c>
      <c r="K18" s="16">
        <f>IF(AND(AA$2=1,AA$3=1,Q18&lt;1),Y18,"")</f>
      </c>
      <c r="L18" s="48">
        <f>IF(AND(AA$2=1,AA$3=1,Q18&lt;1),Z18,"")</f>
      </c>
      <c r="M18" s="16">
        <f>IF(AND(AA$2=1,AA$3=1,R18&gt;W$2,R18&lt;R$2),"Slow","")</f>
      </c>
      <c r="N18" s="14">
        <f>IF(AND(AA$2=1,AA$3=1,X18&lt;1),"yes","")</f>
      </c>
      <c r="O18" s="14"/>
      <c r="P18" s="16">
        <f>IF(H18="",1,H18)</f>
        <v>1</v>
      </c>
      <c r="Q18" s="14" t="str">
        <f>IF(F18=""," ",F18)</f>
        <v> </v>
      </c>
      <c r="R18" s="37">
        <f>IF(AND(Q18&lt;1,D18&gt;1),ROUND(G18/P18*1000/D18*24*3600,0)/(24*3600),R$2)</f>
        <v>41.625</v>
      </c>
      <c r="S18" s="16">
        <f>IF(Q18&lt;1,S17+1,"")</f>
      </c>
      <c r="T18" s="16">
        <f>IF(R18=R17,T17,S18)</f>
      </c>
      <c r="U18" s="14">
        <f>IF(OR(E18="TN",R18=R$2),"",R18)</f>
      </c>
      <c r="V18" s="38">
        <f>IF(U18="",V17,V17+1)</f>
        <v>1</v>
      </c>
      <c r="W18" s="14">
        <f>IF(OR(V18&gt;U$2,U18=""),"",U18)</f>
      </c>
      <c r="X18" s="14">
        <f>IF(U18&lt;W$2,U18,"")</f>
      </c>
      <c r="Y18" s="38">
        <f>IF(R18&lt;R$2,ROUND(G18/P18/X$2*1000,0),"")</f>
      </c>
      <c r="Z18" s="48">
        <f>IF(R18&lt;R$2,ROUND((R18-X$2)/X$2,3),"")</f>
      </c>
      <c r="AA18" s="38">
        <f>IF(AND(R18&lt;=R19,R18&lt;R$2),1,0)</f>
        <v>0</v>
      </c>
      <c r="AE18" s="53">
        <f t="shared" si="0"/>
      </c>
      <c r="AF18" s="54">
        <f t="shared" si="1"/>
      </c>
      <c r="AG18" s="55">
        <f t="shared" si="2"/>
      </c>
      <c r="AH18" s="54">
        <f t="shared" si="3"/>
      </c>
      <c r="AI18" s="54">
        <f t="shared" si="4"/>
      </c>
      <c r="AJ18" s="56">
        <f t="shared" si="5"/>
      </c>
      <c r="AK18" s="56">
        <f t="shared" si="6"/>
      </c>
      <c r="AL18" s="56">
        <f t="shared" si="7"/>
      </c>
      <c r="AN18" s="57">
        <f t="shared" si="8"/>
      </c>
      <c r="AO18" s="54">
        <f t="shared" si="9"/>
      </c>
      <c r="AP18" s="58">
        <f t="shared" si="10"/>
      </c>
      <c r="AQ18" s="59">
        <f t="shared" si="11"/>
      </c>
      <c r="AR18" s="54">
        <f t="shared" si="12"/>
      </c>
      <c r="AS18" s="60">
        <f t="shared" si="13"/>
      </c>
      <c r="AT18" s="54">
        <f t="shared" si="14"/>
      </c>
      <c r="AU18" s="61"/>
      <c r="AV18" s="59">
        <f t="shared" si="15"/>
      </c>
      <c r="AW18" s="38">
        <f t="shared" si="16"/>
      </c>
      <c r="AX18" s="54">
        <f t="shared" si="17"/>
      </c>
      <c r="AY18" s="54">
        <f t="shared" si="18"/>
      </c>
    </row>
    <row r="19" spans="1:51" s="38" customFormat="1" ht="18" customHeight="1">
      <c r="A19" s="62"/>
      <c r="B19" s="63"/>
      <c r="C19" s="63"/>
      <c r="D19" s="1"/>
      <c r="E19" s="1"/>
      <c r="F19" s="64"/>
      <c r="G19" s="14">
        <f>IF(Q19&lt;1,Q19-F$3,"")</f>
      </c>
      <c r="H19" s="65"/>
      <c r="I19" s="14">
        <f>IF(AND(AA$2=1,Q19&lt;1),R19,"")</f>
      </c>
      <c r="J19" s="15">
        <f>IF(AA$2=1,T19,"")</f>
      </c>
      <c r="K19" s="16">
        <f>IF(AND(AA$2=1,AA$3=1,Q19&lt;1),Y19,"")</f>
      </c>
      <c r="L19" s="48">
        <f>IF(AND(AA$2=1,AA$3=1,Q19&lt;1),Z19,"")</f>
      </c>
      <c r="M19" s="16">
        <f>IF(AND(AA$2=1,AA$3=1,R19&gt;W$2,R19&lt;R$2),"Slow","")</f>
      </c>
      <c r="N19" s="14">
        <f>IF(AND(AA$2=1,AA$3=1,X19&lt;1),"yes","")</f>
      </c>
      <c r="O19" s="14"/>
      <c r="P19" s="16">
        <f>IF(H19="",1,H19)</f>
        <v>1</v>
      </c>
      <c r="Q19" s="14" t="str">
        <f>IF(F19=""," ",F19)</f>
        <v> </v>
      </c>
      <c r="R19" s="37">
        <f>IF(AND(Q19&lt;1,D19&gt;1),ROUND(G19/P19*1000/D19*24*3600,0)/(24*3600),R$2)</f>
        <v>41.625</v>
      </c>
      <c r="S19" s="16">
        <f>IF(Q19&lt;1,S18+1,"")</f>
      </c>
      <c r="T19" s="16">
        <f>IF(R19=R18,T18,S19)</f>
      </c>
      <c r="U19" s="14">
        <f>IF(OR(E19="TN",R19=R$2),"",R19)</f>
      </c>
      <c r="V19" s="38">
        <f>IF(U19="",V18,V18+1)</f>
        <v>1</v>
      </c>
      <c r="W19" s="14">
        <f>IF(OR(V19&gt;U$2,U19=""),"",U19)</f>
      </c>
      <c r="X19" s="14">
        <f>IF(U19&lt;W$2,U19,"")</f>
      </c>
      <c r="Y19" s="38">
        <f>IF(R19&lt;R$2,ROUND(G19/P19/X$2*1000,0),"")</f>
      </c>
      <c r="Z19" s="48">
        <f>IF(R19&lt;R$2,ROUND((R19-X$2)/X$2,3),"")</f>
      </c>
      <c r="AA19" s="38">
        <f>IF(AND(R19&lt;=R20,R19&lt;R$2),1,0)</f>
        <v>0</v>
      </c>
      <c r="AE19" s="53">
        <f t="shared" si="0"/>
      </c>
      <c r="AF19" s="54">
        <f t="shared" si="1"/>
      </c>
      <c r="AG19" s="55">
        <f t="shared" si="2"/>
      </c>
      <c r="AH19" s="54">
        <f t="shared" si="3"/>
      </c>
      <c r="AI19" s="54">
        <f t="shared" si="4"/>
      </c>
      <c r="AJ19" s="56">
        <f t="shared" si="5"/>
      </c>
      <c r="AK19" s="56">
        <f t="shared" si="6"/>
      </c>
      <c r="AL19" s="56">
        <f t="shared" si="7"/>
      </c>
      <c r="AN19" s="57">
        <f t="shared" si="8"/>
      </c>
      <c r="AO19" s="54">
        <f t="shared" si="9"/>
      </c>
      <c r="AP19" s="58">
        <f t="shared" si="10"/>
      </c>
      <c r="AQ19" s="59">
        <f t="shared" si="11"/>
      </c>
      <c r="AR19" s="54">
        <f t="shared" si="12"/>
      </c>
      <c r="AS19" s="60">
        <f t="shared" si="13"/>
      </c>
      <c r="AT19" s="54">
        <f t="shared" si="14"/>
      </c>
      <c r="AU19" s="61"/>
      <c r="AV19" s="59">
        <f t="shared" si="15"/>
      </c>
      <c r="AW19" s="38">
        <f t="shared" si="16"/>
      </c>
      <c r="AX19" s="54">
        <f t="shared" si="17"/>
      </c>
      <c r="AY19" s="54">
        <f t="shared" si="18"/>
      </c>
    </row>
    <row r="20" spans="1:51" s="38" customFormat="1" ht="18" customHeight="1">
      <c r="A20" s="62"/>
      <c r="B20" s="63"/>
      <c r="C20" s="63"/>
      <c r="D20" s="1"/>
      <c r="E20" s="1"/>
      <c r="F20" s="64"/>
      <c r="G20" s="14">
        <f>IF(Q20&lt;1,Q20-F$3,"")</f>
      </c>
      <c r="H20" s="65"/>
      <c r="I20" s="14">
        <f>IF(AND(AA$2=1,Q20&lt;1),R20,"")</f>
      </c>
      <c r="J20" s="15">
        <f>IF(AA$2=1,T20,"")</f>
      </c>
      <c r="K20" s="16">
        <f>IF(AND(AA$2=1,AA$3=1,Q20&lt;1),Y20,"")</f>
      </c>
      <c r="L20" s="48">
        <f>IF(AND(AA$2=1,AA$3=1,Q20&lt;1),Z20,"")</f>
      </c>
      <c r="M20" s="16">
        <f>IF(AND(AA$2=1,AA$3=1,R20&gt;W$2,R20&lt;R$2),"Slow","")</f>
      </c>
      <c r="N20" s="14">
        <f>IF(AND(AA$2=1,AA$3=1,X20&lt;1),"yes","")</f>
      </c>
      <c r="O20" s="14"/>
      <c r="P20" s="16">
        <f>IF(H20="",1,H20)</f>
        <v>1</v>
      </c>
      <c r="Q20" s="14" t="str">
        <f>IF(F20=""," ",F20)</f>
        <v> </v>
      </c>
      <c r="R20" s="37">
        <f>IF(AND(Q20&lt;1,D20&gt;1),ROUND(G20/P20*1000/D20*24*3600,0)/(24*3600),R$2)</f>
        <v>41.625</v>
      </c>
      <c r="S20" s="16">
        <f>IF(Q20&lt;1,S19+1,"")</f>
      </c>
      <c r="T20" s="16">
        <f>IF(R20=R19,T19,S20)</f>
      </c>
      <c r="U20" s="14">
        <f>IF(OR(E20="TN",R20=R$2),"",R20)</f>
      </c>
      <c r="V20" s="38">
        <f>IF(U20="",V19,V19+1)</f>
        <v>1</v>
      </c>
      <c r="W20" s="14">
        <f>IF(OR(V20&gt;U$2,U20=""),"",U20)</f>
      </c>
      <c r="X20" s="14">
        <f>IF(U20&lt;W$2,U20,"")</f>
      </c>
      <c r="Y20" s="38">
        <f>IF(R20&lt;R$2,ROUND(G20/P20/X$2*1000,0),"")</f>
      </c>
      <c r="Z20" s="48">
        <f>IF(R20&lt;R$2,ROUND((R20-X$2)/X$2,3),"")</f>
      </c>
      <c r="AA20" s="38">
        <f>IF(AND(R20&lt;=R21,R20&lt;R$2),1,0)</f>
        <v>0</v>
      </c>
      <c r="AE20" s="53">
        <f t="shared" si="0"/>
      </c>
      <c r="AF20" s="54">
        <f t="shared" si="1"/>
      </c>
      <c r="AG20" s="55">
        <f t="shared" si="2"/>
      </c>
      <c r="AH20" s="54">
        <f t="shared" si="3"/>
      </c>
      <c r="AI20" s="54">
        <f t="shared" si="4"/>
      </c>
      <c r="AJ20" s="56">
        <f t="shared" si="5"/>
      </c>
      <c r="AK20" s="56">
        <f t="shared" si="6"/>
      </c>
      <c r="AL20" s="56">
        <f t="shared" si="7"/>
      </c>
      <c r="AN20" s="57">
        <f t="shared" si="8"/>
      </c>
      <c r="AO20" s="54">
        <f t="shared" si="9"/>
      </c>
      <c r="AP20" s="58">
        <f t="shared" si="10"/>
      </c>
      <c r="AQ20" s="59">
        <f t="shared" si="11"/>
      </c>
      <c r="AR20" s="54">
        <f t="shared" si="12"/>
      </c>
      <c r="AS20" s="60">
        <f t="shared" si="13"/>
      </c>
      <c r="AT20" s="54">
        <f t="shared" si="14"/>
      </c>
      <c r="AU20" s="61"/>
      <c r="AV20" s="59">
        <f t="shared" si="15"/>
      </c>
      <c r="AW20" s="38">
        <f t="shared" si="16"/>
      </c>
      <c r="AX20" s="54">
        <f t="shared" si="17"/>
      </c>
      <c r="AY20" s="54">
        <f t="shared" si="18"/>
      </c>
    </row>
    <row r="21" spans="1:51" s="38" customFormat="1" ht="18" customHeight="1">
      <c r="A21" s="62"/>
      <c r="B21" s="63"/>
      <c r="C21" s="63"/>
      <c r="D21" s="1"/>
      <c r="E21" s="1"/>
      <c r="F21" s="64"/>
      <c r="G21" s="14">
        <f>IF(Q21&lt;1,Q21-F$3,"")</f>
      </c>
      <c r="H21" s="65"/>
      <c r="I21" s="14">
        <f>IF(AND(AA$2=1,Q21&lt;1),R21,"")</f>
      </c>
      <c r="J21" s="15">
        <f>IF(AA$2=1,T21,"")</f>
      </c>
      <c r="K21" s="16">
        <f>IF(AND(AA$2=1,AA$3=1,Q21&lt;1),Y21,"")</f>
      </c>
      <c r="L21" s="48">
        <f>IF(AND(AA$2=1,AA$3=1,Q21&lt;1),Z21,"")</f>
      </c>
      <c r="M21" s="16">
        <f>IF(AND(AA$2=1,AA$3=1,R21&gt;W$2,R21&lt;R$2),"Slow","")</f>
      </c>
      <c r="N21" s="14">
        <f>IF(AND(AA$2=1,AA$3=1,X21&lt;1),"yes","")</f>
      </c>
      <c r="O21" s="14"/>
      <c r="P21" s="16">
        <f>IF(H21="",1,H21)</f>
        <v>1</v>
      </c>
      <c r="Q21" s="14" t="str">
        <f>IF(F21=""," ",F21)</f>
        <v> </v>
      </c>
      <c r="R21" s="37">
        <f>IF(AND(Q21&lt;1,D21&gt;1),ROUND(G21/P21*1000/D21*24*3600,0)/(24*3600),R$2)</f>
        <v>41.625</v>
      </c>
      <c r="S21" s="16">
        <f>IF(Q21&lt;1,S20+1,"")</f>
      </c>
      <c r="T21" s="16">
        <f>IF(R21=R20,T20,S21)</f>
      </c>
      <c r="U21" s="14">
        <f>IF(OR(E21="TN",R21=R$2),"",R21)</f>
      </c>
      <c r="V21" s="38">
        <f>IF(U21="",V20,V20+1)</f>
        <v>1</v>
      </c>
      <c r="W21" s="14">
        <f>IF(OR(V21&gt;U$2,U21=""),"",U21)</f>
      </c>
      <c r="X21" s="14">
        <f>IF(U21&lt;W$2,U21,"")</f>
      </c>
      <c r="Y21" s="38">
        <f>IF(R21&lt;R$2,ROUND(G21/P21/X$2*1000,0),"")</f>
      </c>
      <c r="Z21" s="48">
        <f>IF(R21&lt;R$2,ROUND((R21-X$2)/X$2,3),"")</f>
      </c>
      <c r="AA21" s="38">
        <f>IF(AND(R21&lt;=R22,R21&lt;R$2),1,0)</f>
        <v>0</v>
      </c>
      <c r="AE21" s="53">
        <f t="shared" si="0"/>
      </c>
      <c r="AF21" s="54">
        <f t="shared" si="1"/>
      </c>
      <c r="AG21" s="55">
        <f t="shared" si="2"/>
      </c>
      <c r="AH21" s="54">
        <f t="shared" si="3"/>
      </c>
      <c r="AI21" s="54">
        <f t="shared" si="4"/>
      </c>
      <c r="AJ21" s="56">
        <f t="shared" si="5"/>
      </c>
      <c r="AK21" s="56">
        <f t="shared" si="6"/>
      </c>
      <c r="AL21" s="56">
        <f t="shared" si="7"/>
      </c>
      <c r="AN21" s="57">
        <f t="shared" si="8"/>
      </c>
      <c r="AO21" s="54">
        <f t="shared" si="9"/>
      </c>
      <c r="AP21" s="58">
        <f t="shared" si="10"/>
      </c>
      <c r="AQ21" s="59">
        <f t="shared" si="11"/>
      </c>
      <c r="AR21" s="54">
        <f t="shared" si="12"/>
      </c>
      <c r="AS21" s="60">
        <f t="shared" si="13"/>
      </c>
      <c r="AT21" s="54">
        <f t="shared" si="14"/>
      </c>
      <c r="AU21" s="61"/>
      <c r="AV21" s="59">
        <f t="shared" si="15"/>
      </c>
      <c r="AW21" s="38">
        <f t="shared" si="16"/>
      </c>
      <c r="AX21" s="54">
        <f t="shared" si="17"/>
      </c>
      <c r="AY21" s="54">
        <f t="shared" si="18"/>
      </c>
    </row>
    <row r="22" spans="1:51" s="38" customFormat="1" ht="18" customHeight="1">
      <c r="A22" s="62"/>
      <c r="B22" s="63"/>
      <c r="C22" s="63"/>
      <c r="D22" s="1"/>
      <c r="E22" s="1"/>
      <c r="F22" s="64"/>
      <c r="G22" s="14">
        <f>IF(Q22&lt;1,Q22-F$3,"")</f>
      </c>
      <c r="H22" s="65"/>
      <c r="I22" s="14">
        <f>IF(AND(AA$2=1,Q22&lt;1),R22,"")</f>
      </c>
      <c r="J22" s="15">
        <f>IF(AA$2=1,T22,"")</f>
      </c>
      <c r="K22" s="16">
        <f>IF(AND(AA$2=1,AA$3=1,Q22&lt;1),Y22,"")</f>
      </c>
      <c r="L22" s="48">
        <f>IF(AND(AA$2=1,AA$3=1,Q22&lt;1),Z22,"")</f>
      </c>
      <c r="M22" s="16">
        <f>IF(AND(AA$2=1,AA$3=1,R22&gt;W$2,R22&lt;R$2),"Slow","")</f>
      </c>
      <c r="N22" s="14">
        <f>IF(AND(AA$2=1,AA$3=1,X22&lt;1),"yes","")</f>
      </c>
      <c r="O22" s="14"/>
      <c r="P22" s="16">
        <f>IF(H22="",1,H22)</f>
        <v>1</v>
      </c>
      <c r="Q22" s="14" t="str">
        <f>IF(F22=""," ",F22)</f>
        <v> </v>
      </c>
      <c r="R22" s="37">
        <f>IF(AND(Q22&lt;1,D22&gt;1),ROUND(G22/P22*1000/D22*24*3600,0)/(24*3600),R$2)</f>
        <v>41.625</v>
      </c>
      <c r="S22" s="16">
        <f>IF(Q22&lt;1,S21+1,"")</f>
      </c>
      <c r="T22" s="16">
        <f>IF(R22=R21,T21,S22)</f>
      </c>
      <c r="U22" s="14">
        <f>IF(OR(E22="TN",R22=R$2),"",R22)</f>
      </c>
      <c r="V22" s="38">
        <f>IF(U22="",V21,V21+1)</f>
        <v>1</v>
      </c>
      <c r="W22" s="14">
        <f>IF(OR(V22&gt;U$2,U22=""),"",U22)</f>
      </c>
      <c r="X22" s="14">
        <f>IF(U22&lt;W$2,U22,"")</f>
      </c>
      <c r="Y22" s="38">
        <f>IF(R22&lt;R$2,ROUND(G22/P22/X$2*1000,0),"")</f>
      </c>
      <c r="Z22" s="48">
        <f>IF(R22&lt;R$2,ROUND((R22-X$2)/X$2,3),"")</f>
      </c>
      <c r="AA22" s="38">
        <f>IF(AND(R22&lt;=R23,R22&lt;R$2),1,0)</f>
        <v>0</v>
      </c>
      <c r="AE22" s="53">
        <f t="shared" si="0"/>
      </c>
      <c r="AF22" s="54">
        <f t="shared" si="1"/>
      </c>
      <c r="AG22" s="55">
        <f t="shared" si="2"/>
      </c>
      <c r="AH22" s="54">
        <f t="shared" si="3"/>
      </c>
      <c r="AI22" s="54">
        <f t="shared" si="4"/>
      </c>
      <c r="AJ22" s="56">
        <f t="shared" si="5"/>
      </c>
      <c r="AK22" s="56">
        <f t="shared" si="6"/>
      </c>
      <c r="AL22" s="56">
        <f t="shared" si="7"/>
      </c>
      <c r="AN22" s="57">
        <f t="shared" si="8"/>
      </c>
      <c r="AO22" s="54">
        <f t="shared" si="9"/>
      </c>
      <c r="AP22" s="58">
        <f t="shared" si="10"/>
      </c>
      <c r="AQ22" s="59">
        <f t="shared" si="11"/>
      </c>
      <c r="AR22" s="54">
        <f t="shared" si="12"/>
      </c>
      <c r="AS22" s="60">
        <f t="shared" si="13"/>
      </c>
      <c r="AT22" s="54">
        <f t="shared" si="14"/>
      </c>
      <c r="AU22" s="61"/>
      <c r="AV22" s="59">
        <f t="shared" si="15"/>
      </c>
      <c r="AW22" s="38">
        <f t="shared" si="16"/>
      </c>
      <c r="AX22" s="54">
        <f t="shared" si="17"/>
      </c>
      <c r="AY22" s="54">
        <f t="shared" si="18"/>
      </c>
    </row>
    <row r="23" spans="1:51" s="38" customFormat="1" ht="18" customHeight="1">
      <c r="A23" s="62"/>
      <c r="B23" s="63"/>
      <c r="C23" s="63"/>
      <c r="D23" s="1"/>
      <c r="E23" s="1"/>
      <c r="F23" s="64"/>
      <c r="G23" s="14">
        <f>IF(Q23&lt;1,Q23-F$3,"")</f>
      </c>
      <c r="H23" s="65"/>
      <c r="I23" s="14">
        <f>IF(AND(AA$2=1,Q23&lt;1),R23,"")</f>
      </c>
      <c r="J23" s="15">
        <f>IF(AA$2=1,T23,"")</f>
      </c>
      <c r="K23" s="16">
        <f>IF(AND(AA$2=1,AA$3=1,Q23&lt;1),Y23,"")</f>
      </c>
      <c r="L23" s="48">
        <f>IF(AND(AA$2=1,AA$3=1,Q23&lt;1),Z23,"")</f>
      </c>
      <c r="M23" s="16">
        <f>IF(AND(AA$2=1,AA$3=1,R23&gt;W$2,R23&lt;R$2),"Slow","")</f>
      </c>
      <c r="N23" s="14">
        <f>IF(AND(AA$2=1,AA$3=1,X23&lt;1),"yes","")</f>
      </c>
      <c r="O23" s="14"/>
      <c r="P23" s="16">
        <f>IF(H23="",1,H23)</f>
        <v>1</v>
      </c>
      <c r="Q23" s="14" t="str">
        <f>IF(F23=""," ",F23)</f>
        <v> </v>
      </c>
      <c r="R23" s="37">
        <f>IF(AND(Q23&lt;1,D23&gt;1),ROUND(G23/P23*1000/D23*24*3600,0)/(24*3600),R$2)</f>
        <v>41.625</v>
      </c>
      <c r="S23" s="16">
        <f>IF(Q23&lt;1,S22+1,"")</f>
      </c>
      <c r="T23" s="16">
        <f>IF(R23=R22,T22,S23)</f>
      </c>
      <c r="U23" s="14">
        <f>IF(OR(E23="TN",R23=R$2),"",R23)</f>
      </c>
      <c r="V23" s="38">
        <f>IF(U23="",V22,V22+1)</f>
        <v>1</v>
      </c>
      <c r="W23" s="14">
        <f>IF(OR(V23&gt;U$2,U23=""),"",U23)</f>
      </c>
      <c r="X23" s="14">
        <f>IF(U23&lt;W$2,U23,"")</f>
      </c>
      <c r="Y23" s="38">
        <f>IF(R23&lt;R$2,ROUND(G23/P23/X$2*1000,0),"")</f>
      </c>
      <c r="Z23" s="48">
        <f>IF(R23&lt;R$2,ROUND((R23-X$2)/X$2,3),"")</f>
      </c>
      <c r="AA23" s="38">
        <f>IF(AND(R23&lt;=R24,R23&lt;R$2),1,0)</f>
        <v>0</v>
      </c>
      <c r="AE23" s="53">
        <f t="shared" si="0"/>
      </c>
      <c r="AF23" s="54">
        <f t="shared" si="1"/>
      </c>
      <c r="AG23" s="55">
        <f t="shared" si="2"/>
      </c>
      <c r="AH23" s="54">
        <f t="shared" si="3"/>
      </c>
      <c r="AI23" s="54">
        <f t="shared" si="4"/>
      </c>
      <c r="AJ23" s="56">
        <f t="shared" si="5"/>
      </c>
      <c r="AK23" s="56">
        <f t="shared" si="6"/>
      </c>
      <c r="AL23" s="56">
        <f t="shared" si="7"/>
      </c>
      <c r="AN23" s="57">
        <f t="shared" si="8"/>
      </c>
      <c r="AO23" s="54">
        <f t="shared" si="9"/>
      </c>
      <c r="AP23" s="58">
        <f t="shared" si="10"/>
      </c>
      <c r="AQ23" s="59">
        <f t="shared" si="11"/>
      </c>
      <c r="AR23" s="54">
        <f t="shared" si="12"/>
      </c>
      <c r="AS23" s="60">
        <f t="shared" si="13"/>
      </c>
      <c r="AT23" s="54">
        <f t="shared" si="14"/>
      </c>
      <c r="AU23" s="61"/>
      <c r="AV23" s="59">
        <f t="shared" si="15"/>
      </c>
      <c r="AW23" s="38">
        <f t="shared" si="16"/>
      </c>
      <c r="AX23" s="54">
        <f t="shared" si="17"/>
      </c>
      <c r="AY23" s="54">
        <f t="shared" si="18"/>
      </c>
    </row>
    <row r="24" spans="1:51" s="38" customFormat="1" ht="18" customHeight="1">
      <c r="A24" s="62"/>
      <c r="B24" s="63"/>
      <c r="C24" s="63"/>
      <c r="D24" s="1"/>
      <c r="E24" s="1"/>
      <c r="F24" s="64"/>
      <c r="G24" s="14">
        <f>IF(Q24&lt;1,Q24-F$3,"")</f>
      </c>
      <c r="H24" s="65"/>
      <c r="I24" s="14">
        <f>IF(AND(AA$2=1,Q24&lt;1),R24,"")</f>
      </c>
      <c r="J24" s="15">
        <f>IF(AA$2=1,T24,"")</f>
      </c>
      <c r="K24" s="16">
        <f>IF(AND(AA$2=1,AA$3=1,Q24&lt;1),Y24,"")</f>
      </c>
      <c r="L24" s="48">
        <f>IF(AND(AA$2=1,AA$3=1,Q24&lt;1),Z24,"")</f>
      </c>
      <c r="M24" s="16">
        <f>IF(AND(AA$2=1,AA$3=1,R24&gt;W$2,R24&lt;R$2),"Slow","")</f>
      </c>
      <c r="N24" s="14">
        <f>IF(AND(AA$2=1,AA$3=1,X24&lt;1),"yes","")</f>
      </c>
      <c r="O24" s="14"/>
      <c r="P24" s="16">
        <f>IF(H24="",1,H24)</f>
        <v>1</v>
      </c>
      <c r="Q24" s="14" t="str">
        <f>IF(F24=""," ",F24)</f>
        <v> </v>
      </c>
      <c r="R24" s="37">
        <f>IF(AND(Q24&lt;1,D24&gt;1),ROUND(G24/P24*1000/D24*24*3600,0)/(24*3600),R$2)</f>
        <v>41.625</v>
      </c>
      <c r="S24" s="16">
        <f>IF(Q24&lt;1,S23+1,"")</f>
      </c>
      <c r="T24" s="16">
        <f>IF(R24=R23,T23,S24)</f>
      </c>
      <c r="U24" s="14">
        <f>IF(OR(E24="TN",R24=R$2),"",R24)</f>
      </c>
      <c r="V24" s="38">
        <f>IF(U24="",V23,V23+1)</f>
        <v>1</v>
      </c>
      <c r="W24" s="14">
        <f>IF(OR(V24&gt;U$2,U24=""),"",U24)</f>
      </c>
      <c r="X24" s="14">
        <f>IF(U24&lt;W$2,U24,"")</f>
      </c>
      <c r="Y24" s="38">
        <f>IF(R24&lt;R$2,ROUND(G24/P24/X$2*1000,0),"")</f>
      </c>
      <c r="Z24" s="48">
        <f>IF(R24&lt;R$2,ROUND((R24-X$2)/X$2,3),"")</f>
      </c>
      <c r="AA24" s="38">
        <f>IF(AND(R24&lt;=R25,R24&lt;R$2),1,0)</f>
        <v>0</v>
      </c>
      <c r="AE24" s="53">
        <f t="shared" si="0"/>
      </c>
      <c r="AF24" s="54">
        <f t="shared" si="1"/>
      </c>
      <c r="AG24" s="55">
        <f t="shared" si="2"/>
      </c>
      <c r="AH24" s="54">
        <f t="shared" si="3"/>
      </c>
      <c r="AI24" s="54">
        <f t="shared" si="4"/>
      </c>
      <c r="AJ24" s="56">
        <f t="shared" si="5"/>
      </c>
      <c r="AK24" s="56">
        <f t="shared" si="6"/>
      </c>
      <c r="AL24" s="56">
        <f t="shared" si="7"/>
      </c>
      <c r="AN24" s="57">
        <f t="shared" si="8"/>
      </c>
      <c r="AO24" s="54">
        <f t="shared" si="9"/>
      </c>
      <c r="AP24" s="58">
        <f t="shared" si="10"/>
      </c>
      <c r="AQ24" s="59">
        <f t="shared" si="11"/>
      </c>
      <c r="AR24" s="54">
        <f t="shared" si="12"/>
      </c>
      <c r="AS24" s="60">
        <f t="shared" si="13"/>
      </c>
      <c r="AT24" s="54">
        <f t="shared" si="14"/>
      </c>
      <c r="AU24" s="61"/>
      <c r="AV24" s="59">
        <f t="shared" si="15"/>
      </c>
      <c r="AW24" s="38">
        <f t="shared" si="16"/>
      </c>
      <c r="AX24" s="54">
        <f t="shared" si="17"/>
      </c>
      <c r="AY24" s="54">
        <f t="shared" si="18"/>
      </c>
    </row>
    <row r="25" spans="1:51" s="38" customFormat="1" ht="18" customHeight="1">
      <c r="A25" s="62"/>
      <c r="B25" s="63"/>
      <c r="C25" s="63"/>
      <c r="D25" s="1"/>
      <c r="E25" s="1"/>
      <c r="F25" s="64"/>
      <c r="G25" s="14">
        <f>IF(Q25&lt;1,Q25-F$3,"")</f>
      </c>
      <c r="H25" s="65"/>
      <c r="I25" s="14">
        <f>IF(AND(AA$2=1,Q25&lt;1),R25,"")</f>
      </c>
      <c r="J25" s="15">
        <f>IF(AA$2=1,T25,"")</f>
      </c>
      <c r="K25" s="16">
        <f>IF(AND(AA$2=1,AA$3=1,Q25&lt;1),Y25,"")</f>
      </c>
      <c r="L25" s="48">
        <f>IF(AND(AA$2=1,AA$3=1,Q25&lt;1),Z25,"")</f>
      </c>
      <c r="M25" s="16">
        <f>IF(AND(AA$2=1,AA$3=1,R25&gt;W$2,R25&lt;R$2),"Slow","")</f>
      </c>
      <c r="N25" s="14">
        <f>IF(AND(AA$2=1,AA$3=1,X25&lt;1),"yes","")</f>
      </c>
      <c r="O25" s="14"/>
      <c r="P25" s="16">
        <f>IF(H25="",1,H25)</f>
        <v>1</v>
      </c>
      <c r="Q25" s="14" t="str">
        <f>IF(F25=""," ",F25)</f>
        <v> </v>
      </c>
      <c r="R25" s="37">
        <f>IF(AND(Q25&lt;1,D25&gt;1),ROUND(G25/P25*1000/D25*24*3600,0)/(24*3600),R$2)</f>
        <v>41.625</v>
      </c>
      <c r="S25" s="16">
        <f>IF(Q25&lt;1,S24+1,"")</f>
      </c>
      <c r="T25" s="16">
        <f>IF(R25=R24,T24,S25)</f>
      </c>
      <c r="U25" s="14">
        <f>IF(OR(E25="TN",R25=R$2),"",R25)</f>
      </c>
      <c r="V25" s="38">
        <f>IF(U25="",V24,V24+1)</f>
        <v>1</v>
      </c>
      <c r="W25" s="14">
        <f>IF(OR(V25&gt;U$2,U25=""),"",U25)</f>
      </c>
      <c r="X25" s="14">
        <f>IF(U25&lt;W$2,U25,"")</f>
      </c>
      <c r="Y25" s="38">
        <f>IF(R25&lt;R$2,ROUND(G25/P25/X$2*1000,0),"")</f>
      </c>
      <c r="Z25" s="48">
        <f>IF(R25&lt;R$2,ROUND((R25-X$2)/X$2,3),"")</f>
      </c>
      <c r="AA25" s="38">
        <f>IF(AND(R25&lt;=R26,R25&lt;R$2),1,0)</f>
        <v>0</v>
      </c>
      <c r="AE25" s="53">
        <f t="shared" si="0"/>
      </c>
      <c r="AF25" s="54">
        <f t="shared" si="1"/>
      </c>
      <c r="AG25" s="55">
        <f t="shared" si="2"/>
      </c>
      <c r="AH25" s="54">
        <f t="shared" si="3"/>
      </c>
      <c r="AI25" s="54">
        <f t="shared" si="4"/>
      </c>
      <c r="AJ25" s="56">
        <f t="shared" si="5"/>
      </c>
      <c r="AK25" s="56">
        <f t="shared" si="6"/>
      </c>
      <c r="AL25" s="56">
        <f t="shared" si="7"/>
      </c>
      <c r="AN25" s="57">
        <f t="shared" si="8"/>
      </c>
      <c r="AO25" s="54">
        <f t="shared" si="9"/>
      </c>
      <c r="AP25" s="58">
        <f t="shared" si="10"/>
      </c>
      <c r="AQ25" s="59">
        <f t="shared" si="11"/>
      </c>
      <c r="AR25" s="54">
        <f t="shared" si="12"/>
      </c>
      <c r="AS25" s="60">
        <f t="shared" si="13"/>
      </c>
      <c r="AT25" s="54">
        <f t="shared" si="14"/>
      </c>
      <c r="AU25" s="61"/>
      <c r="AV25" s="59">
        <f t="shared" si="15"/>
      </c>
      <c r="AW25" s="38">
        <f t="shared" si="16"/>
      </c>
      <c r="AX25" s="54">
        <f t="shared" si="17"/>
      </c>
      <c r="AY25" s="54">
        <f t="shared" si="18"/>
      </c>
    </row>
    <row r="26" spans="1:51" s="38" customFormat="1" ht="18" customHeight="1">
      <c r="A26" s="62"/>
      <c r="B26" s="63"/>
      <c r="C26" s="63"/>
      <c r="D26" s="1"/>
      <c r="E26" s="1"/>
      <c r="F26" s="64"/>
      <c r="G26" s="14">
        <f>IF(Q26&lt;1,Q26-F$3,"")</f>
      </c>
      <c r="H26" s="65"/>
      <c r="I26" s="14">
        <f>IF(AND(AA$2=1,Q26&lt;1),R26,"")</f>
      </c>
      <c r="J26" s="15">
        <f>IF(AA$2=1,T26,"")</f>
      </c>
      <c r="K26" s="16">
        <f>IF(AND(AA$2=1,AA$3=1,Q26&lt;1),Y26,"")</f>
      </c>
      <c r="L26" s="48">
        <f>IF(AND(AA$2=1,AA$3=1,Q26&lt;1),Z26,"")</f>
      </c>
      <c r="M26" s="16">
        <f>IF(AND(AA$2=1,AA$3=1,R26&gt;W$2,R26&lt;R$2),"Slow","")</f>
      </c>
      <c r="N26" s="14">
        <f>IF(AND(AA$2=1,AA$3=1,X26&lt;1),"yes","")</f>
      </c>
      <c r="O26" s="14"/>
      <c r="P26" s="16">
        <f>IF(H26="",1,H26)</f>
        <v>1</v>
      </c>
      <c r="Q26" s="14" t="str">
        <f>IF(F26=""," ",F26)</f>
        <v> </v>
      </c>
      <c r="R26" s="37">
        <f>IF(AND(Q26&lt;1,D26&gt;1),ROUND(G26/P26*1000/D26*24*3600,0)/(24*3600),R$2)</f>
        <v>41.625</v>
      </c>
      <c r="S26" s="16">
        <f>IF(Q26&lt;1,S25+1,"")</f>
      </c>
      <c r="T26" s="16">
        <f>IF(R26=R25,T25,S26)</f>
      </c>
      <c r="U26" s="14">
        <f>IF(OR(E26="TN",R26=R$2),"",R26)</f>
      </c>
      <c r="V26" s="38">
        <f>IF(U26="",V25,V25+1)</f>
        <v>1</v>
      </c>
      <c r="W26" s="14">
        <f>IF(OR(V26&gt;U$2,U26=""),"",U26)</f>
      </c>
      <c r="X26" s="14">
        <f>IF(U26&lt;W$2,U26,"")</f>
      </c>
      <c r="Y26" s="38">
        <f>IF(R26&lt;R$2,ROUND(G26/P26/X$2*1000,0),"")</f>
      </c>
      <c r="Z26" s="48">
        <f>IF(R26&lt;R$2,ROUND((R26-X$2)/X$2,3),"")</f>
      </c>
      <c r="AA26" s="38">
        <f>IF(AND(R26&lt;=R27,R26&lt;R$2),1,0)</f>
        <v>0</v>
      </c>
      <c r="AE26" s="53">
        <f t="shared" si="0"/>
      </c>
      <c r="AF26" s="54">
        <f t="shared" si="1"/>
      </c>
      <c r="AG26" s="55">
        <f t="shared" si="2"/>
      </c>
      <c r="AH26" s="54">
        <f t="shared" si="3"/>
      </c>
      <c r="AI26" s="54">
        <f t="shared" si="4"/>
      </c>
      <c r="AJ26" s="56">
        <f t="shared" si="5"/>
      </c>
      <c r="AK26" s="56">
        <f t="shared" si="6"/>
      </c>
      <c r="AL26" s="56">
        <f t="shared" si="7"/>
      </c>
      <c r="AN26" s="57">
        <f t="shared" si="8"/>
      </c>
      <c r="AO26" s="54">
        <f t="shared" si="9"/>
      </c>
      <c r="AP26" s="58">
        <f t="shared" si="10"/>
      </c>
      <c r="AQ26" s="59">
        <f t="shared" si="11"/>
      </c>
      <c r="AR26" s="54">
        <f t="shared" si="12"/>
      </c>
      <c r="AS26" s="60">
        <f t="shared" si="13"/>
      </c>
      <c r="AT26" s="54">
        <f t="shared" si="14"/>
      </c>
      <c r="AU26" s="61"/>
      <c r="AV26" s="59">
        <f t="shared" si="15"/>
      </c>
      <c r="AW26" s="38">
        <f t="shared" si="16"/>
      </c>
      <c r="AX26" s="54">
        <f t="shared" si="17"/>
      </c>
      <c r="AY26" s="54">
        <f t="shared" si="18"/>
      </c>
    </row>
    <row r="27" spans="1:51" s="38" customFormat="1" ht="18" customHeight="1">
      <c r="A27" s="62"/>
      <c r="B27" s="63"/>
      <c r="C27" s="63"/>
      <c r="D27" s="1"/>
      <c r="E27" s="1"/>
      <c r="F27" s="64"/>
      <c r="G27" s="14">
        <f>IF(Q27&lt;1,Q27-F$3,"")</f>
      </c>
      <c r="H27" s="65"/>
      <c r="I27" s="14">
        <f>IF(AND(AA$2=1,Q27&lt;1),R27,"")</f>
      </c>
      <c r="J27" s="15">
        <f>IF(AA$2=1,T27,"")</f>
      </c>
      <c r="K27" s="16">
        <f>IF(AND(AA$2=1,AA$3=1,Q27&lt;1),Y27,"")</f>
      </c>
      <c r="L27" s="48">
        <f>IF(AND(AA$2=1,AA$3=1,Q27&lt;1),Z27,"")</f>
      </c>
      <c r="M27" s="16">
        <f>IF(AND(AA$2=1,AA$3=1,R27&gt;W$2,R27&lt;R$2),"Slow","")</f>
      </c>
      <c r="N27" s="14">
        <f>IF(AND(AA$2=1,AA$3=1,X27&lt;1),"yes","")</f>
      </c>
      <c r="O27" s="14"/>
      <c r="P27" s="16">
        <f>IF(H27="",1,H27)</f>
        <v>1</v>
      </c>
      <c r="Q27" s="14" t="str">
        <f>IF(F27=""," ",F27)</f>
        <v> </v>
      </c>
      <c r="R27" s="37">
        <f>IF(AND(Q27&lt;1,D27&gt;1),ROUND(G27/P27*1000/D27*24*3600,0)/(24*3600),R$2)</f>
        <v>41.625</v>
      </c>
      <c r="S27" s="16">
        <f>IF(Q27&lt;1,S26+1,"")</f>
      </c>
      <c r="T27" s="16">
        <f>IF(R27=R26,T26,S27)</f>
      </c>
      <c r="U27" s="14">
        <f>IF(OR(E27="TN",R27=R$2),"",R27)</f>
      </c>
      <c r="V27" s="38">
        <f>IF(U27="",V26,V26+1)</f>
        <v>1</v>
      </c>
      <c r="W27" s="14">
        <f>IF(OR(V27&gt;U$2,U27=""),"",U27)</f>
      </c>
      <c r="X27" s="14">
        <f>IF(U27&lt;W$2,U27,"")</f>
      </c>
      <c r="Y27" s="38">
        <f>IF(R27&lt;R$2,ROUND(G27/P27/X$2*1000,0),"")</f>
      </c>
      <c r="Z27" s="48">
        <f>IF(R27&lt;R$2,ROUND((R27-X$2)/X$2,3),"")</f>
      </c>
      <c r="AA27" s="38">
        <f>IF(AND(R27&lt;=R28,R27&lt;R$2),1,0)</f>
        <v>0</v>
      </c>
      <c r="AE27" s="53">
        <f t="shared" si="0"/>
      </c>
      <c r="AF27" s="54">
        <f t="shared" si="1"/>
      </c>
      <c r="AG27" s="55">
        <f t="shared" si="2"/>
      </c>
      <c r="AH27" s="54">
        <f t="shared" si="3"/>
      </c>
      <c r="AI27" s="54">
        <f t="shared" si="4"/>
      </c>
      <c r="AJ27" s="56">
        <f t="shared" si="5"/>
      </c>
      <c r="AK27" s="56">
        <f t="shared" si="6"/>
      </c>
      <c r="AL27" s="56">
        <f t="shared" si="7"/>
      </c>
      <c r="AN27" s="57">
        <f t="shared" si="8"/>
      </c>
      <c r="AO27" s="54">
        <f t="shared" si="9"/>
      </c>
      <c r="AP27" s="58">
        <f t="shared" si="10"/>
      </c>
      <c r="AQ27" s="59">
        <f t="shared" si="11"/>
      </c>
      <c r="AR27" s="54">
        <f t="shared" si="12"/>
      </c>
      <c r="AS27" s="60">
        <f t="shared" si="13"/>
      </c>
      <c r="AT27" s="54">
        <f t="shared" si="14"/>
      </c>
      <c r="AU27" s="61"/>
      <c r="AV27" s="59">
        <f t="shared" si="15"/>
      </c>
      <c r="AW27" s="38">
        <f t="shared" si="16"/>
      </c>
      <c r="AX27" s="54">
        <f t="shared" si="17"/>
      </c>
      <c r="AY27" s="54">
        <f t="shared" si="18"/>
      </c>
    </row>
    <row r="28" spans="1:51" s="38" customFormat="1" ht="18" customHeight="1">
      <c r="A28" s="62"/>
      <c r="B28" s="63"/>
      <c r="C28" s="63"/>
      <c r="D28" s="1"/>
      <c r="E28" s="1"/>
      <c r="F28" s="64"/>
      <c r="G28" s="14">
        <f>IF(Q28&lt;1,Q28-F$3,"")</f>
      </c>
      <c r="H28" s="65"/>
      <c r="I28" s="14">
        <f>IF(AND(AA$2=1,Q28&lt;1),R28,"")</f>
      </c>
      <c r="J28" s="15">
        <f>IF(AA$2=1,T28,"")</f>
      </c>
      <c r="K28" s="16">
        <f>IF(AND(AA$2=1,AA$3=1,Q28&lt;1),Y28,"")</f>
      </c>
      <c r="L28" s="48">
        <f>IF(AND(AA$2=1,AA$3=1,Q28&lt;1),Z28,"")</f>
      </c>
      <c r="M28" s="16">
        <f>IF(AND(AA$2=1,AA$3=1,R28&gt;W$2,R28&lt;R$2),"Slow","")</f>
      </c>
      <c r="N28" s="14">
        <f>IF(AND(AA$2=1,AA$3=1,X28&lt;1),"yes","")</f>
      </c>
      <c r="O28" s="14"/>
      <c r="P28" s="16">
        <f>IF(H28="",1,H28)</f>
        <v>1</v>
      </c>
      <c r="Q28" s="14" t="str">
        <f>IF(F28=""," ",F28)</f>
        <v> </v>
      </c>
      <c r="R28" s="37">
        <f>IF(AND(Q28&lt;1,D28&gt;1),ROUND(G28/P28*1000/D28*24*3600,0)/(24*3600),R$2)</f>
        <v>41.625</v>
      </c>
      <c r="S28" s="16">
        <f>IF(Q28&lt;1,S27+1,"")</f>
      </c>
      <c r="T28" s="16">
        <f>IF(R28=R27,T27,S28)</f>
      </c>
      <c r="U28" s="14">
        <f>IF(OR(E28="TN",R28=R$2),"",R28)</f>
      </c>
      <c r="V28" s="38">
        <f>IF(U28="",V27,V27+1)</f>
        <v>1</v>
      </c>
      <c r="W28" s="14">
        <f>IF(OR(V28&gt;U$2,U28=""),"",U28)</f>
      </c>
      <c r="X28" s="14">
        <f>IF(U28&lt;W$2,U28,"")</f>
      </c>
      <c r="Y28" s="38">
        <f>IF(R28&lt;R$2,ROUND(G28/P28/X$2*1000,0),"")</f>
      </c>
      <c r="Z28" s="48">
        <f>IF(R28&lt;R$2,ROUND((R28-X$2)/X$2,3),"")</f>
      </c>
      <c r="AA28" s="38">
        <f>IF(AND(R28&lt;=R29,R28&lt;R$2),1,0)</f>
        <v>0</v>
      </c>
      <c r="AE28" s="53">
        <f t="shared" si="0"/>
      </c>
      <c r="AF28" s="54">
        <f t="shared" si="1"/>
      </c>
      <c r="AG28" s="55">
        <f t="shared" si="2"/>
      </c>
      <c r="AH28" s="54">
        <f t="shared" si="3"/>
      </c>
      <c r="AI28" s="54">
        <f t="shared" si="4"/>
      </c>
      <c r="AJ28" s="56">
        <f t="shared" si="5"/>
      </c>
      <c r="AK28" s="56">
        <f t="shared" si="6"/>
      </c>
      <c r="AL28" s="56">
        <f t="shared" si="7"/>
      </c>
      <c r="AN28" s="57">
        <f t="shared" si="8"/>
      </c>
      <c r="AO28" s="54">
        <f t="shared" si="9"/>
      </c>
      <c r="AP28" s="58">
        <f t="shared" si="10"/>
      </c>
      <c r="AQ28" s="59">
        <f t="shared" si="11"/>
      </c>
      <c r="AR28" s="54">
        <f t="shared" si="12"/>
      </c>
      <c r="AS28" s="60">
        <f t="shared" si="13"/>
      </c>
      <c r="AT28" s="54">
        <f t="shared" si="14"/>
      </c>
      <c r="AU28" s="61"/>
      <c r="AV28" s="59">
        <f t="shared" si="15"/>
      </c>
      <c r="AW28" s="38">
        <f t="shared" si="16"/>
      </c>
      <c r="AX28" s="54">
        <f t="shared" si="17"/>
      </c>
      <c r="AY28" s="54">
        <f t="shared" si="18"/>
      </c>
    </row>
    <row r="29" spans="1:51" s="38" customFormat="1" ht="18" customHeight="1">
      <c r="A29" s="62"/>
      <c r="B29" s="63"/>
      <c r="C29" s="63"/>
      <c r="D29" s="1"/>
      <c r="E29" s="1"/>
      <c r="F29" s="2"/>
      <c r="G29" s="14">
        <f>IF(Q29&lt;1,Q29-F$3,"")</f>
      </c>
      <c r="H29" s="65"/>
      <c r="I29" s="14">
        <f>IF(AND(AA$2=1,Q29&lt;1),R29,"")</f>
      </c>
      <c r="J29" s="15">
        <f>IF(AA$2=1,T29,"")</f>
      </c>
      <c r="K29" s="16">
        <f>IF(AND(AA$2=1,AA$3=1,Q29&lt;1),Y29,"")</f>
      </c>
      <c r="L29" s="48">
        <f>IF(AND(AA$2=1,AA$3=1,Q29&lt;1),Z29,"")</f>
      </c>
      <c r="M29" s="16">
        <f>IF(AND(AA$2=1,AA$3=1,R29&gt;W$2,R29&lt;R$2),"Slow","")</f>
      </c>
      <c r="N29" s="14">
        <f>IF(AND(AA$2=1,AA$3=1,X29&lt;1),"yes","")</f>
      </c>
      <c r="O29" s="14"/>
      <c r="P29" s="16">
        <f>IF(H29="",1,H29)</f>
        <v>1</v>
      </c>
      <c r="Q29" s="14" t="str">
        <f>IF(F29=""," ",F29)</f>
        <v> </v>
      </c>
      <c r="R29" s="37">
        <f>IF(AND(Q29&lt;1,D29&gt;1),ROUND(G29/P29*1000/D29*24*3600,0)/(24*3600),R$2)</f>
        <v>41.625</v>
      </c>
      <c r="S29" s="16">
        <f>IF(Q29&lt;1,S28+1,"")</f>
      </c>
      <c r="T29" s="16">
        <f>IF(R29=R28,T28,S29)</f>
      </c>
      <c r="U29" s="14">
        <f>IF(OR(E29="TN",R29=R$2),"",R29)</f>
      </c>
      <c r="V29" s="38">
        <f>IF(U29="",V28,V28+1)</f>
        <v>1</v>
      </c>
      <c r="W29" s="14">
        <f>IF(OR(V29&gt;U$2,U29=""),"",U29)</f>
      </c>
      <c r="X29" s="14">
        <f>IF(U29&lt;W$2,U29,"")</f>
      </c>
      <c r="Y29" s="38">
        <f>IF(R29&lt;R$2,ROUND(G29/P29/X$2*1000,0),"")</f>
      </c>
      <c r="Z29" s="48">
        <f>IF(R29&lt;R$2,ROUND((R29-X$2)/X$2,3),"")</f>
      </c>
      <c r="AA29" s="38">
        <f>IF(AND(R29&lt;=R30,R29&lt;R$2),1,0)</f>
        <v>0</v>
      </c>
      <c r="AE29" s="53">
        <f t="shared" si="0"/>
      </c>
      <c r="AF29" s="54">
        <f t="shared" si="1"/>
      </c>
      <c r="AG29" s="55">
        <f t="shared" si="2"/>
      </c>
      <c r="AH29" s="54">
        <f t="shared" si="3"/>
      </c>
      <c r="AI29" s="54">
        <f t="shared" si="4"/>
      </c>
      <c r="AJ29" s="56">
        <f t="shared" si="5"/>
      </c>
      <c r="AK29" s="56">
        <f t="shared" si="6"/>
      </c>
      <c r="AL29" s="56">
        <f t="shared" si="7"/>
      </c>
      <c r="AN29" s="57">
        <f t="shared" si="8"/>
      </c>
      <c r="AO29" s="54">
        <f t="shared" si="9"/>
      </c>
      <c r="AP29" s="58">
        <f t="shared" si="10"/>
      </c>
      <c r="AQ29" s="59">
        <f t="shared" si="11"/>
      </c>
      <c r="AR29" s="54">
        <f t="shared" si="12"/>
      </c>
      <c r="AS29" s="60">
        <f t="shared" si="13"/>
      </c>
      <c r="AT29" s="54">
        <f t="shared" si="14"/>
      </c>
      <c r="AU29" s="61"/>
      <c r="AV29" s="59">
        <f t="shared" si="15"/>
      </c>
      <c r="AW29" s="38">
        <f t="shared" si="16"/>
      </c>
      <c r="AX29" s="54">
        <f t="shared" si="17"/>
      </c>
      <c r="AY29" s="54">
        <f t="shared" si="18"/>
      </c>
    </row>
    <row r="30" spans="1:51" s="38" customFormat="1" ht="18" customHeight="1">
      <c r="A30" s="62"/>
      <c r="B30" s="63"/>
      <c r="C30" s="63"/>
      <c r="D30" s="1"/>
      <c r="E30" s="1"/>
      <c r="F30" s="2"/>
      <c r="G30" s="14">
        <f>IF(Q30&lt;1,Q30-F$3,"")</f>
      </c>
      <c r="H30" s="65"/>
      <c r="I30" s="14">
        <f>IF(AND(AA$2=1,Q30&lt;1),R30,"")</f>
      </c>
      <c r="J30" s="15">
        <f>IF(AA$2=1,T30,"")</f>
      </c>
      <c r="K30" s="16">
        <f>IF(AND(AA$2=1,AA$3=1,Q30&lt;1),Y30,"")</f>
      </c>
      <c r="L30" s="48">
        <f>IF(AND(AA$2=1,AA$3=1,Q30&lt;1),Z30,"")</f>
      </c>
      <c r="M30" s="16">
        <f>IF(AND(AA$2=1,AA$3=1,R30&gt;W$2,R30&lt;R$2),"Slow","")</f>
      </c>
      <c r="N30" s="14">
        <f>IF(AND(AA$2=1,AA$3=1,X30&lt;1),"yes","")</f>
      </c>
      <c r="O30" s="14"/>
      <c r="P30" s="16">
        <f>IF(H30="",1,H30)</f>
        <v>1</v>
      </c>
      <c r="Q30" s="14" t="str">
        <f>IF(F30=""," ",F30)</f>
        <v> </v>
      </c>
      <c r="R30" s="37">
        <f>IF(AND(Q30&lt;1,D30&gt;1),ROUND(G30/P30*1000/D30*24*3600,0)/(24*3600),R$2)</f>
        <v>41.625</v>
      </c>
      <c r="S30" s="16">
        <f>IF(Q30&lt;1,S29+1,"")</f>
      </c>
      <c r="T30" s="16">
        <f>IF(R30=R29,T29,S30)</f>
      </c>
      <c r="U30" s="14">
        <f>IF(OR(E30="TN",R30=R$2),"",R30)</f>
      </c>
      <c r="V30" s="38">
        <f>IF(U30="",V29,V29+1)</f>
        <v>1</v>
      </c>
      <c r="W30" s="14">
        <f>IF(OR(V30&gt;U$2,U30=""),"",U30)</f>
      </c>
      <c r="X30" s="14">
        <f>IF(U30&lt;W$2,U30,"")</f>
      </c>
      <c r="Y30" s="38">
        <f>IF(R30&lt;R$2,ROUND(G30/P30/X$2*1000,0),"")</f>
      </c>
      <c r="Z30" s="48">
        <f>IF(R30&lt;R$2,ROUND((R30-X$2)/X$2,3),"")</f>
      </c>
      <c r="AA30" s="38">
        <f>IF(AND(R30&lt;=R31,R30&lt;R$2),1,0)</f>
        <v>0</v>
      </c>
      <c r="AE30" s="53">
        <f t="shared" si="0"/>
      </c>
      <c r="AF30" s="54">
        <f t="shared" si="1"/>
      </c>
      <c r="AG30" s="55">
        <f t="shared" si="2"/>
      </c>
      <c r="AH30" s="54">
        <f t="shared" si="3"/>
      </c>
      <c r="AI30" s="54">
        <f t="shared" si="4"/>
      </c>
      <c r="AJ30" s="56">
        <f t="shared" si="5"/>
      </c>
      <c r="AK30" s="56">
        <f t="shared" si="6"/>
      </c>
      <c r="AL30" s="56">
        <f t="shared" si="7"/>
      </c>
      <c r="AN30" s="57">
        <f t="shared" si="8"/>
      </c>
      <c r="AO30" s="54">
        <f t="shared" si="9"/>
      </c>
      <c r="AP30" s="58">
        <f t="shared" si="10"/>
      </c>
      <c r="AQ30" s="59">
        <f t="shared" si="11"/>
      </c>
      <c r="AR30" s="54">
        <f t="shared" si="12"/>
      </c>
      <c r="AS30" s="60">
        <f t="shared" si="13"/>
      </c>
      <c r="AT30" s="54">
        <f t="shared" si="14"/>
      </c>
      <c r="AU30" s="61"/>
      <c r="AV30" s="59">
        <f t="shared" si="15"/>
      </c>
      <c r="AW30" s="38">
        <f t="shared" si="16"/>
      </c>
      <c r="AX30" s="54">
        <f t="shared" si="17"/>
      </c>
      <c r="AY30" s="54">
        <f t="shared" si="18"/>
      </c>
    </row>
    <row r="31" spans="1:51" s="38" customFormat="1" ht="18" customHeight="1">
      <c r="A31" s="62"/>
      <c r="B31" s="63"/>
      <c r="C31" s="63"/>
      <c r="D31" s="1"/>
      <c r="E31" s="1"/>
      <c r="F31" s="2"/>
      <c r="G31" s="14">
        <f>IF(Q31&lt;1,Q31-F$3,"")</f>
      </c>
      <c r="H31" s="65"/>
      <c r="I31" s="14">
        <f>IF(AND(AA$2=1,Q31&lt;1),R31,"")</f>
      </c>
      <c r="J31" s="15">
        <f>IF(AA$2=1,T31,"")</f>
      </c>
      <c r="K31" s="16">
        <f>IF(AND(AA$2=1,AA$3=1,Q31&lt;1),Y31,"")</f>
      </c>
      <c r="L31" s="48">
        <f>IF(AND(AA$2=1,AA$3=1,Q31&lt;1),Z31,"")</f>
      </c>
      <c r="M31" s="16">
        <f>IF(AND(AA$2=1,AA$3=1,R31&gt;W$2,R31&lt;R$2),"Slow","")</f>
      </c>
      <c r="N31" s="14">
        <f>IF(AND(AA$2=1,AA$3=1,X31&lt;1),"yes","")</f>
      </c>
      <c r="O31" s="14"/>
      <c r="P31" s="16">
        <f>IF(H31="",1,H31)</f>
        <v>1</v>
      </c>
      <c r="Q31" s="14" t="str">
        <f>IF(F31=""," ",F31)</f>
        <v> </v>
      </c>
      <c r="R31" s="37">
        <f>IF(AND(Q31&lt;1,D31&gt;1),ROUND(G31/P31*1000/D31*24*3600,0)/(24*3600),R$2)</f>
        <v>41.625</v>
      </c>
      <c r="S31" s="16">
        <f>IF(Q31&lt;1,S30+1,"")</f>
      </c>
      <c r="T31" s="16">
        <f>IF(R31=R30,T30,S31)</f>
      </c>
      <c r="U31" s="14">
        <f>IF(OR(E31="TN",R31=R$2),"",R31)</f>
      </c>
      <c r="V31" s="38">
        <f>IF(U31="",V30,V30+1)</f>
        <v>1</v>
      </c>
      <c r="W31" s="14">
        <f>IF(OR(V31&gt;U$2,U31=""),"",U31)</f>
      </c>
      <c r="X31" s="14">
        <f>IF(U31&lt;W$2,U31,"")</f>
      </c>
      <c r="Y31" s="38">
        <f>IF(R31&lt;R$2,ROUND(G31/P31/X$2*1000,0),"")</f>
      </c>
      <c r="Z31" s="48">
        <f>IF(R31&lt;R$2,ROUND((R31-X$2)/X$2,3),"")</f>
      </c>
      <c r="AA31" s="38">
        <f>IF(AND(R31&lt;=R32,R31&lt;R$2),1,0)</f>
        <v>0</v>
      </c>
      <c r="AE31" s="53">
        <f t="shared" si="0"/>
      </c>
      <c r="AF31" s="54">
        <f t="shared" si="1"/>
      </c>
      <c r="AG31" s="55">
        <f t="shared" si="2"/>
      </c>
      <c r="AH31" s="54">
        <f t="shared" si="3"/>
      </c>
      <c r="AI31" s="54">
        <f t="shared" si="4"/>
      </c>
      <c r="AJ31" s="56">
        <f t="shared" si="5"/>
      </c>
      <c r="AK31" s="56">
        <f t="shared" si="6"/>
      </c>
      <c r="AL31" s="56">
        <f t="shared" si="7"/>
      </c>
      <c r="AN31" s="57">
        <f t="shared" si="8"/>
      </c>
      <c r="AO31" s="54">
        <f t="shared" si="9"/>
      </c>
      <c r="AP31" s="58">
        <f t="shared" si="10"/>
      </c>
      <c r="AQ31" s="59">
        <f t="shared" si="11"/>
      </c>
      <c r="AR31" s="54">
        <f t="shared" si="12"/>
      </c>
      <c r="AS31" s="60">
        <f t="shared" si="13"/>
      </c>
      <c r="AT31" s="54">
        <f t="shared" si="14"/>
      </c>
      <c r="AU31" s="61"/>
      <c r="AV31" s="59">
        <f t="shared" si="15"/>
      </c>
      <c r="AW31" s="38">
        <f t="shared" si="16"/>
      </c>
      <c r="AX31" s="54">
        <f t="shared" si="17"/>
      </c>
      <c r="AY31" s="54">
        <f t="shared" si="18"/>
      </c>
    </row>
    <row r="32" spans="1:51" s="38" customFormat="1" ht="18" customHeight="1">
      <c r="A32" s="62"/>
      <c r="B32" s="63"/>
      <c r="C32" s="63"/>
      <c r="D32" s="1"/>
      <c r="E32" s="1"/>
      <c r="F32" s="2"/>
      <c r="G32" s="14">
        <f>IF(Q32&lt;1,Q32-F$3,"")</f>
      </c>
      <c r="H32" s="65"/>
      <c r="I32" s="14">
        <f>IF(AND(AA$2=1,Q32&lt;1),R32,"")</f>
      </c>
      <c r="J32" s="15">
        <f>IF(AA$2=1,T32,"")</f>
      </c>
      <c r="K32" s="16">
        <f>IF(AND(AA$2=1,AA$3=1,Q32&lt;1),Y32,"")</f>
      </c>
      <c r="L32" s="48">
        <f>IF(AND(AA$2=1,AA$3=1,Q32&lt;1),Z32,"")</f>
      </c>
      <c r="M32" s="16">
        <f>IF(AND(AA$2=1,AA$3=1,R32&gt;W$2,R32&lt;R$2),"Slow","")</f>
      </c>
      <c r="N32" s="14">
        <f>IF(AND(AA$2=1,AA$3=1,X32&lt;1),"yes","")</f>
      </c>
      <c r="O32" s="14"/>
      <c r="P32" s="16">
        <f>IF(H32="",1,H32)</f>
        <v>1</v>
      </c>
      <c r="Q32" s="14" t="str">
        <f>IF(F32=""," ",F32)</f>
        <v> </v>
      </c>
      <c r="R32" s="37">
        <f>IF(AND(Q32&lt;1,D32&gt;1),ROUND(G32/P32*1000/D32*24*3600,0)/(24*3600),R$2)</f>
        <v>41.625</v>
      </c>
      <c r="S32" s="16">
        <f>IF(Q32&lt;1,S31+1,"")</f>
      </c>
      <c r="T32" s="16">
        <f>IF(R32=R31,T31,S32)</f>
      </c>
      <c r="U32" s="14">
        <f>IF(OR(E32="TN",R32=R$2),"",R32)</f>
      </c>
      <c r="V32" s="38">
        <f>IF(U32="",V31,V31+1)</f>
        <v>1</v>
      </c>
      <c r="W32" s="14">
        <f>IF(OR(V32&gt;U$2,U32=""),"",U32)</f>
      </c>
      <c r="X32" s="14">
        <f>IF(U32&lt;W$2,U32,"")</f>
      </c>
      <c r="Y32" s="38">
        <f>IF(R32&lt;R$2,ROUND(G32/P32/X$2*1000,0),"")</f>
      </c>
      <c r="Z32" s="48">
        <f>IF(R32&lt;R$2,ROUND((R32-X$2)/X$2,3),"")</f>
      </c>
      <c r="AA32" s="38">
        <f>IF(AND(R32&lt;=R33,R32&lt;R$2),1,0)</f>
        <v>0</v>
      </c>
      <c r="AE32" s="53">
        <f t="shared" si="0"/>
      </c>
      <c r="AF32" s="54">
        <f t="shared" si="1"/>
      </c>
      <c r="AG32" s="55">
        <f t="shared" si="2"/>
      </c>
      <c r="AH32" s="54">
        <f t="shared" si="3"/>
      </c>
      <c r="AI32" s="54">
        <f t="shared" si="4"/>
      </c>
      <c r="AJ32" s="56">
        <f t="shared" si="5"/>
      </c>
      <c r="AK32" s="56">
        <f t="shared" si="6"/>
      </c>
      <c r="AL32" s="56">
        <f t="shared" si="7"/>
      </c>
      <c r="AN32" s="57">
        <f t="shared" si="8"/>
      </c>
      <c r="AO32" s="54">
        <f t="shared" si="9"/>
      </c>
      <c r="AP32" s="58">
        <f t="shared" si="10"/>
      </c>
      <c r="AQ32" s="59">
        <f t="shared" si="11"/>
      </c>
      <c r="AR32" s="54">
        <f t="shared" si="12"/>
      </c>
      <c r="AS32" s="60">
        <f t="shared" si="13"/>
      </c>
      <c r="AT32" s="54">
        <f t="shared" si="14"/>
      </c>
      <c r="AU32" s="61"/>
      <c r="AV32" s="59">
        <f t="shared" si="15"/>
      </c>
      <c r="AW32" s="38">
        <f t="shared" si="16"/>
      </c>
      <c r="AX32" s="54">
        <f t="shared" si="17"/>
      </c>
      <c r="AY32" s="54">
        <f t="shared" si="18"/>
      </c>
    </row>
    <row r="33" spans="1:51" s="38" customFormat="1" ht="18" customHeight="1">
      <c r="A33" s="62"/>
      <c r="B33" s="63"/>
      <c r="C33" s="63"/>
      <c r="D33" s="1"/>
      <c r="E33" s="1"/>
      <c r="F33" s="2"/>
      <c r="G33" s="14">
        <f>IF(Q33&lt;1,Q33-F$3,"")</f>
      </c>
      <c r="H33" s="65"/>
      <c r="I33" s="14">
        <f>IF(AND(AA$2=1,Q33&lt;1),R33,"")</f>
      </c>
      <c r="J33" s="15">
        <f>IF(AA$2=1,T33,"")</f>
      </c>
      <c r="K33" s="16">
        <f>IF(AND(AA$2=1,AA$3=1,Q33&lt;1),Y33,"")</f>
      </c>
      <c r="L33" s="48">
        <f>IF(AND(AA$2=1,AA$3=1,Q33&lt;1),Z33,"")</f>
      </c>
      <c r="M33" s="16">
        <f>IF(AND(AA$2=1,AA$3=1,R33&gt;W$2,R33&lt;R$2),"Slow","")</f>
      </c>
      <c r="N33" s="14">
        <f>IF(AND(AA$2=1,AA$3=1,X33&lt;1),"yes","")</f>
      </c>
      <c r="O33" s="14"/>
      <c r="P33" s="16">
        <f>IF(H33="",1,H33)</f>
        <v>1</v>
      </c>
      <c r="Q33" s="14" t="str">
        <f>IF(F33=""," ",F33)</f>
        <v> </v>
      </c>
      <c r="R33" s="37">
        <f>IF(AND(Q33&lt;1,D33&gt;1),ROUND(G33/P33*1000/D33*24*3600,0)/(24*3600),R$2)</f>
        <v>41.625</v>
      </c>
      <c r="S33" s="16">
        <f>IF(Q33&lt;1,S32+1,"")</f>
      </c>
      <c r="T33" s="16">
        <f>IF(R33=R32,T32,S33)</f>
      </c>
      <c r="U33" s="14">
        <f>IF(OR(E33="TN",R33=R$2),"",R33)</f>
      </c>
      <c r="V33" s="38">
        <f>IF(U33="",V32,V32+1)</f>
        <v>1</v>
      </c>
      <c r="W33" s="14">
        <f>IF(OR(V33&gt;U$2,U33=""),"",U33)</f>
      </c>
      <c r="X33" s="14">
        <f>IF(U33&lt;W$2,U33,"")</f>
      </c>
      <c r="Y33" s="38">
        <f>IF(R33&lt;R$2,ROUND(G33/P33/X$2*1000,0),"")</f>
      </c>
      <c r="Z33" s="48">
        <f>IF(R33&lt;R$2,ROUND((R33-X$2)/X$2,3),"")</f>
      </c>
      <c r="AA33" s="38">
        <f>IF(AND(R33&lt;=R34,R33&lt;R$2),1,0)</f>
        <v>0</v>
      </c>
      <c r="AE33" s="53">
        <f t="shared" si="0"/>
      </c>
      <c r="AF33" s="54">
        <f t="shared" si="1"/>
      </c>
      <c r="AG33" s="55">
        <f t="shared" si="2"/>
      </c>
      <c r="AH33" s="54">
        <f t="shared" si="3"/>
      </c>
      <c r="AI33" s="54">
        <f t="shared" si="4"/>
      </c>
      <c r="AJ33" s="56">
        <f t="shared" si="5"/>
      </c>
      <c r="AK33" s="56">
        <f t="shared" si="6"/>
      </c>
      <c r="AL33" s="56">
        <f t="shared" si="7"/>
      </c>
      <c r="AN33" s="57">
        <f t="shared" si="8"/>
      </c>
      <c r="AO33" s="54">
        <f t="shared" si="9"/>
      </c>
      <c r="AP33" s="58">
        <f t="shared" si="10"/>
      </c>
      <c r="AQ33" s="59">
        <f t="shared" si="11"/>
      </c>
      <c r="AR33" s="54">
        <f t="shared" si="12"/>
      </c>
      <c r="AS33" s="60">
        <f t="shared" si="13"/>
      </c>
      <c r="AT33" s="54">
        <f t="shared" si="14"/>
      </c>
      <c r="AU33" s="61"/>
      <c r="AV33" s="59">
        <f t="shared" si="15"/>
      </c>
      <c r="AW33" s="38">
        <f t="shared" si="16"/>
      </c>
      <c r="AX33" s="54">
        <f t="shared" si="17"/>
      </c>
      <c r="AY33" s="54">
        <f t="shared" si="18"/>
      </c>
    </row>
    <row r="34" spans="1:51" s="38" customFormat="1" ht="18" customHeight="1">
      <c r="A34" s="62"/>
      <c r="B34" s="63"/>
      <c r="C34" s="63"/>
      <c r="D34" s="1"/>
      <c r="E34" s="1"/>
      <c r="F34" s="2"/>
      <c r="G34" s="14">
        <f>IF(Q34&lt;1,Q34-F$3,"")</f>
      </c>
      <c r="H34" s="65"/>
      <c r="I34" s="14">
        <f>IF(AND(AA$2=1,Q34&lt;1),R34,"")</f>
      </c>
      <c r="J34" s="15">
        <f>IF(AA$2=1,T34,"")</f>
      </c>
      <c r="K34" s="16">
        <f>IF(AND(AA$2=1,AA$3=1,Q34&lt;1),Y34,"")</f>
      </c>
      <c r="L34" s="48">
        <f>IF(AND(AA$2=1,AA$3=1,Q34&lt;1),Z34,"")</f>
      </c>
      <c r="M34" s="16">
        <f>IF(AND(AA$2=1,AA$3=1,R34&gt;W$2,R34&lt;R$2),"Slow","")</f>
      </c>
      <c r="N34" s="14">
        <f>IF(AND(AA$2=1,AA$3=1,X34&lt;1),"yes","")</f>
      </c>
      <c r="O34" s="14"/>
      <c r="P34" s="16">
        <f>IF(H34="",1,H34)</f>
        <v>1</v>
      </c>
      <c r="Q34" s="14" t="str">
        <f>IF(F34=""," ",F34)</f>
        <v> </v>
      </c>
      <c r="R34" s="37">
        <f>IF(AND(Q34&lt;1,D34&gt;1),ROUND(G34/P34*1000/D34*24*3600,0)/(24*3600),R$2)</f>
        <v>41.625</v>
      </c>
      <c r="S34" s="16">
        <f>IF(Q34&lt;1,S33+1,"")</f>
      </c>
      <c r="T34" s="16">
        <f>IF(R34=R33,T33,S34)</f>
      </c>
      <c r="U34" s="14">
        <f>IF(OR(E34="TN",R34=R$2),"",R34)</f>
      </c>
      <c r="V34" s="38">
        <f>IF(U34="",V33,V33+1)</f>
        <v>1</v>
      </c>
      <c r="W34" s="14">
        <f>IF(OR(V34&gt;U$2,U34=""),"",U34)</f>
      </c>
      <c r="X34" s="14">
        <f>IF(U34&lt;W$2,U34,"")</f>
      </c>
      <c r="Y34" s="38">
        <f>IF(R34&lt;R$2,ROUND(G34/P34/X$2*1000,0),"")</f>
      </c>
      <c r="Z34" s="48">
        <f>IF(R34&lt;R$2,ROUND((R34-X$2)/X$2,3),"")</f>
      </c>
      <c r="AA34" s="38">
        <f>IF(AND(R34&lt;=R35,R34&lt;R$2),1,0)</f>
        <v>0</v>
      </c>
      <c r="AE34" s="53">
        <f t="shared" si="0"/>
      </c>
      <c r="AF34" s="54">
        <f t="shared" si="1"/>
      </c>
      <c r="AG34" s="55">
        <f t="shared" si="2"/>
      </c>
      <c r="AH34" s="54">
        <f t="shared" si="3"/>
      </c>
      <c r="AI34" s="54">
        <f t="shared" si="4"/>
      </c>
      <c r="AJ34" s="56">
        <f t="shared" si="5"/>
      </c>
      <c r="AK34" s="56">
        <f t="shared" si="6"/>
      </c>
      <c r="AL34" s="56">
        <f t="shared" si="7"/>
      </c>
      <c r="AN34" s="57">
        <f t="shared" si="8"/>
      </c>
      <c r="AO34" s="54">
        <f t="shared" si="9"/>
      </c>
      <c r="AP34" s="58">
        <f t="shared" si="10"/>
      </c>
      <c r="AQ34" s="59">
        <f t="shared" si="11"/>
      </c>
      <c r="AR34" s="54">
        <f t="shared" si="12"/>
      </c>
      <c r="AS34" s="60">
        <f t="shared" si="13"/>
      </c>
      <c r="AT34" s="54">
        <f t="shared" si="14"/>
      </c>
      <c r="AU34" s="61"/>
      <c r="AV34" s="59">
        <f t="shared" si="15"/>
      </c>
      <c r="AW34" s="38">
        <f t="shared" si="16"/>
      </c>
      <c r="AX34" s="54">
        <f t="shared" si="17"/>
      </c>
      <c r="AY34" s="54">
        <f t="shared" si="18"/>
      </c>
    </row>
    <row r="35" spans="1:51" s="38" customFormat="1" ht="18" customHeight="1">
      <c r="A35" s="62"/>
      <c r="B35" s="63"/>
      <c r="C35" s="63"/>
      <c r="D35" s="1"/>
      <c r="E35" s="1"/>
      <c r="F35" s="2"/>
      <c r="G35" s="14">
        <f>IF(Q35&lt;1,Q35-F$3,"")</f>
      </c>
      <c r="H35" s="65"/>
      <c r="I35" s="14">
        <f>IF(AND(AA$2=1,Q35&lt;1),R35,"")</f>
      </c>
      <c r="J35" s="15">
        <f>IF(AA$2=1,T35,"")</f>
      </c>
      <c r="K35" s="16">
        <f>IF(AND(AA$2=1,AA$3=1,Q35&lt;1),Y35,"")</f>
      </c>
      <c r="L35" s="48">
        <f>IF(AND(AA$2=1,AA$3=1,Q35&lt;1),Z35,"")</f>
      </c>
      <c r="M35" s="16">
        <f>IF(AND(AA$2=1,AA$3=1,R35&gt;W$2,R35&lt;R$2),"Slow","")</f>
      </c>
      <c r="N35" s="14">
        <f>IF(AND(AA$2=1,AA$3=1,X35&lt;1),"yes","")</f>
      </c>
      <c r="O35" s="14"/>
      <c r="P35" s="16">
        <f>IF(H35="",1,H35)</f>
        <v>1</v>
      </c>
      <c r="Q35" s="14" t="str">
        <f>IF(F35=""," ",F35)</f>
        <v> </v>
      </c>
      <c r="R35" s="37">
        <f>IF(AND(Q35&lt;1,D35&gt;1),ROUND(G35/P35*1000/D35*24*3600,0)/(24*3600),R$2)</f>
        <v>41.625</v>
      </c>
      <c r="S35" s="16">
        <f>IF(Q35&lt;1,S34+1,"")</f>
      </c>
      <c r="T35" s="16">
        <f>IF(R35=R34,T34,S35)</f>
      </c>
      <c r="U35" s="14">
        <f>IF(OR(E35="TN",R35=R$2),"",R35)</f>
      </c>
      <c r="V35" s="38">
        <f>IF(U35="",V34,V34+1)</f>
        <v>1</v>
      </c>
      <c r="W35" s="14">
        <f>IF(OR(V35&gt;U$2,U35=""),"",U35)</f>
      </c>
      <c r="X35" s="14">
        <f>IF(U35&lt;W$2,U35,"")</f>
      </c>
      <c r="Y35" s="38">
        <f>IF(R35&lt;R$2,ROUND(G35/P35/X$2*1000,0),"")</f>
      </c>
      <c r="Z35" s="48">
        <f>IF(R35&lt;R$2,ROUND((R35-X$2)/X$2,3),"")</f>
      </c>
      <c r="AA35" s="38">
        <f>IF(AND(R35&lt;=R36,R35&lt;R$2),1,0)</f>
        <v>0</v>
      </c>
      <c r="AE35" s="53">
        <f t="shared" si="0"/>
      </c>
      <c r="AF35" s="54">
        <f t="shared" si="1"/>
      </c>
      <c r="AG35" s="55">
        <f t="shared" si="2"/>
      </c>
      <c r="AH35" s="54">
        <f t="shared" si="3"/>
      </c>
      <c r="AI35" s="54">
        <f t="shared" si="4"/>
      </c>
      <c r="AJ35" s="56">
        <f t="shared" si="5"/>
      </c>
      <c r="AK35" s="56">
        <f t="shared" si="6"/>
      </c>
      <c r="AL35" s="56">
        <f t="shared" si="7"/>
      </c>
      <c r="AN35" s="57">
        <f t="shared" si="8"/>
      </c>
      <c r="AO35" s="54">
        <f t="shared" si="9"/>
      </c>
      <c r="AP35" s="58">
        <f t="shared" si="10"/>
      </c>
      <c r="AQ35" s="59">
        <f t="shared" si="11"/>
      </c>
      <c r="AR35" s="54">
        <f t="shared" si="12"/>
      </c>
      <c r="AS35" s="60">
        <f t="shared" si="13"/>
      </c>
      <c r="AT35" s="54">
        <f t="shared" si="14"/>
      </c>
      <c r="AU35" s="61"/>
      <c r="AV35" s="59">
        <f t="shared" si="15"/>
      </c>
      <c r="AW35" s="38">
        <f t="shared" si="16"/>
      </c>
      <c r="AX35" s="54">
        <f t="shared" si="17"/>
      </c>
      <c r="AY35" s="54">
        <f t="shared" si="18"/>
      </c>
    </row>
    <row r="36" spans="1:51" s="38" customFormat="1" ht="18" customHeight="1">
      <c r="A36" s="62"/>
      <c r="B36" s="63"/>
      <c r="C36" s="63"/>
      <c r="D36" s="1"/>
      <c r="E36" s="1"/>
      <c r="F36" s="2"/>
      <c r="G36" s="14">
        <f>IF(Q36&lt;1,Q36-F$3,"")</f>
      </c>
      <c r="H36" s="65"/>
      <c r="I36" s="14">
        <f>IF(AND(AA$2=1,Q36&lt;1),R36,"")</f>
      </c>
      <c r="J36" s="15">
        <f>IF(AA$2=1,T36,"")</f>
      </c>
      <c r="K36" s="16">
        <f>IF(AND(AA$2=1,AA$3=1,Q36&lt;1),Y36,"")</f>
      </c>
      <c r="L36" s="48">
        <f>IF(AND(AA$2=1,AA$3=1,Q36&lt;1),Z36,"")</f>
      </c>
      <c r="M36" s="16">
        <f>IF(AND(AA$2=1,AA$3=1,R36&gt;W$2,R36&lt;R$2),"Slow","")</f>
      </c>
      <c r="N36" s="14">
        <f>IF(AND(AA$2=1,AA$3=1,X36&lt;1),"yes","")</f>
      </c>
      <c r="O36" s="14"/>
      <c r="P36" s="16">
        <f>IF(H36="",1,H36)</f>
        <v>1</v>
      </c>
      <c r="Q36" s="14" t="str">
        <f>IF(F36=""," ",F36)</f>
        <v> </v>
      </c>
      <c r="R36" s="37">
        <f>IF(AND(Q36&lt;1,D36&gt;1),ROUND(G36/P36*1000/D36*24*3600,0)/(24*3600),R$2)</f>
        <v>41.625</v>
      </c>
      <c r="S36" s="16">
        <f>IF(Q36&lt;1,S35+1,"")</f>
      </c>
      <c r="T36" s="16">
        <f>IF(R36=R35,T35,S36)</f>
      </c>
      <c r="U36" s="14">
        <f>IF(OR(E36="TN",R36=R$2),"",R36)</f>
      </c>
      <c r="V36" s="38">
        <f>IF(U36="",V35,V35+1)</f>
        <v>1</v>
      </c>
      <c r="W36" s="14">
        <f>IF(OR(V36&gt;U$2,U36=""),"",U36)</f>
      </c>
      <c r="X36" s="14">
        <f>IF(U36&lt;W$2,U36,"")</f>
      </c>
      <c r="Y36" s="38">
        <f>IF(R36&lt;R$2,ROUND(G36/P36/X$2*1000,0),"")</f>
      </c>
      <c r="Z36" s="48">
        <f>IF(R36&lt;R$2,ROUND((R36-X$2)/X$2,3),"")</f>
      </c>
      <c r="AA36" s="38">
        <f>IF(AND(R36&lt;=R37,R36&lt;R$2),1,0)</f>
        <v>0</v>
      </c>
      <c r="AE36" s="53">
        <f t="shared" si="0"/>
      </c>
      <c r="AF36" s="54">
        <f t="shared" si="1"/>
      </c>
      <c r="AG36" s="55">
        <f t="shared" si="2"/>
      </c>
      <c r="AH36" s="54">
        <f t="shared" si="3"/>
      </c>
      <c r="AI36" s="54">
        <f t="shared" si="4"/>
      </c>
      <c r="AJ36" s="56">
        <f t="shared" si="5"/>
      </c>
      <c r="AK36" s="56">
        <f t="shared" si="6"/>
      </c>
      <c r="AL36" s="56">
        <f t="shared" si="7"/>
      </c>
      <c r="AN36" s="57">
        <f t="shared" si="8"/>
      </c>
      <c r="AO36" s="54">
        <f t="shared" si="9"/>
      </c>
      <c r="AP36" s="58">
        <f t="shared" si="10"/>
      </c>
      <c r="AQ36" s="59">
        <f t="shared" si="11"/>
      </c>
      <c r="AR36" s="54">
        <f t="shared" si="12"/>
      </c>
      <c r="AS36" s="60">
        <f t="shared" si="13"/>
      </c>
      <c r="AT36" s="54">
        <f t="shared" si="14"/>
      </c>
      <c r="AU36" s="61"/>
      <c r="AV36" s="59">
        <f t="shared" si="15"/>
      </c>
      <c r="AW36" s="38">
        <f t="shared" si="16"/>
      </c>
      <c r="AX36" s="54">
        <f t="shared" si="17"/>
      </c>
      <c r="AY36" s="54">
        <f t="shared" si="18"/>
      </c>
    </row>
    <row r="37" spans="1:51" s="38" customFormat="1" ht="18" customHeight="1">
      <c r="A37" s="62"/>
      <c r="B37" s="63"/>
      <c r="C37" s="63"/>
      <c r="D37" s="1"/>
      <c r="E37" s="1"/>
      <c r="F37" s="2"/>
      <c r="G37" s="14">
        <f>IF(Q37&lt;1,Q37-F$3,"")</f>
      </c>
      <c r="H37" s="65"/>
      <c r="I37" s="14">
        <f>IF(AND(AA$2=1,Q37&lt;1),R37,"")</f>
      </c>
      <c r="J37" s="15">
        <f>IF(AA$2=1,T37,"")</f>
      </c>
      <c r="K37" s="16">
        <f>IF(AND(AA$2=1,AA$3=1,Q37&lt;1),Y37,"")</f>
      </c>
      <c r="L37" s="48">
        <f>IF(AND(AA$2=1,AA$3=1,Q37&lt;1),Z37,"")</f>
      </c>
      <c r="M37" s="16">
        <f>IF(AND(AA$2=1,AA$3=1,R37&gt;W$2,R37&lt;R$2),"Slow","")</f>
      </c>
      <c r="N37" s="14">
        <f>IF(AND(AA$2=1,AA$3=1,X37&lt;1),"yes","")</f>
      </c>
      <c r="O37" s="14"/>
      <c r="P37" s="16">
        <f>IF(H37="",1,H37)</f>
        <v>1</v>
      </c>
      <c r="Q37" s="14" t="str">
        <f>IF(F37=""," ",F37)</f>
        <v> </v>
      </c>
      <c r="R37" s="37">
        <f>IF(AND(Q37&lt;1,D37&gt;1),ROUND(G37/P37*1000/D37*24*3600,0)/(24*3600),R$2)</f>
        <v>41.625</v>
      </c>
      <c r="S37" s="16">
        <f>IF(Q37&lt;1,S36+1,"")</f>
      </c>
      <c r="T37" s="16">
        <f>IF(R37=R36,T36,S37)</f>
      </c>
      <c r="U37" s="14">
        <f>IF(OR(E37="TN",R37=R$2),"",R37)</f>
      </c>
      <c r="V37" s="38">
        <f>IF(U37="",V36,V36+1)</f>
        <v>1</v>
      </c>
      <c r="W37" s="14">
        <f>IF(OR(V37&gt;U$2,U37=""),"",U37)</f>
      </c>
      <c r="X37" s="14">
        <f>IF(U37&lt;W$2,U37,"")</f>
      </c>
      <c r="Y37" s="38">
        <f>IF(R37&lt;R$2,ROUND(G37/P37/X$2*1000,0),"")</f>
      </c>
      <c r="Z37" s="48">
        <f>IF(R37&lt;R$2,ROUND((R37-X$2)/X$2,3),"")</f>
      </c>
      <c r="AA37" s="38">
        <f>IF(AND(R37&lt;=R38,R37&lt;R$2),1,0)</f>
        <v>0</v>
      </c>
      <c r="AE37" s="53">
        <f t="shared" si="0"/>
      </c>
      <c r="AF37" s="54">
        <f t="shared" si="1"/>
      </c>
      <c r="AG37" s="55">
        <f t="shared" si="2"/>
      </c>
      <c r="AH37" s="54">
        <f t="shared" si="3"/>
      </c>
      <c r="AI37" s="54">
        <f t="shared" si="4"/>
      </c>
      <c r="AJ37" s="56">
        <f t="shared" si="5"/>
      </c>
      <c r="AK37" s="56">
        <f t="shared" si="6"/>
      </c>
      <c r="AL37" s="56">
        <f t="shared" si="7"/>
      </c>
      <c r="AN37" s="57">
        <f t="shared" si="8"/>
      </c>
      <c r="AO37" s="54">
        <f t="shared" si="9"/>
      </c>
      <c r="AP37" s="58">
        <f t="shared" si="10"/>
      </c>
      <c r="AQ37" s="59">
        <f t="shared" si="11"/>
      </c>
      <c r="AR37" s="54">
        <f t="shared" si="12"/>
      </c>
      <c r="AS37" s="60">
        <f t="shared" si="13"/>
      </c>
      <c r="AT37" s="54">
        <f t="shared" si="14"/>
      </c>
      <c r="AU37" s="61"/>
      <c r="AV37" s="59">
        <f t="shared" si="15"/>
      </c>
      <c r="AW37" s="38">
        <f t="shared" si="16"/>
      </c>
      <c r="AX37" s="54">
        <f t="shared" si="17"/>
      </c>
      <c r="AY37" s="54">
        <f t="shared" si="18"/>
      </c>
    </row>
    <row r="38" spans="1:51" s="38" customFormat="1" ht="18" customHeight="1">
      <c r="A38" s="51"/>
      <c r="B38" s="52"/>
      <c r="C38" s="52"/>
      <c r="D38" s="1"/>
      <c r="E38" s="1"/>
      <c r="F38" s="2"/>
      <c r="G38" s="14">
        <f>IF(Q38&lt;1,Q38-F$3,"")</f>
      </c>
      <c r="H38" s="65"/>
      <c r="I38" s="14">
        <f>IF(AND(AA$2=1,Q38&lt;1),R38,"")</f>
      </c>
      <c r="J38" s="15">
        <f>IF(AA$2=1,T38,"")</f>
      </c>
      <c r="K38" s="16">
        <f>IF(AND(AA$2=1,AA$3=1,Q38&lt;1),Y38,"")</f>
      </c>
      <c r="L38" s="48">
        <f>IF(AND(AA$2=1,AA$3=1,Q38&lt;1),Z38,"")</f>
      </c>
      <c r="M38" s="16">
        <f>IF(AND(AA$2=1,AA$3=1,R38&gt;W$2,R38&lt;R$2),"Slow","")</f>
      </c>
      <c r="N38" s="14">
        <f>IF(AND(AA$2=1,AA$3=1,X38&lt;1),"yes","")</f>
      </c>
      <c r="O38" s="14"/>
      <c r="P38" s="16">
        <f>IF(H38="",1,H38)</f>
        <v>1</v>
      </c>
      <c r="Q38" s="14" t="str">
        <f>IF(F38=""," ",F38)</f>
        <v> </v>
      </c>
      <c r="R38" s="37">
        <f>IF(AND(Q38&lt;1,D38&gt;1),ROUND(G38/P38*1000/D38*24*3600,0)/(24*3600),R$2)</f>
        <v>41.625</v>
      </c>
      <c r="S38" s="16">
        <f>IF(Q38&lt;1,S37+1,"")</f>
      </c>
      <c r="T38" s="16">
        <f>IF(R38=R37,T37,S38)</f>
      </c>
      <c r="U38" s="14">
        <f>IF(OR(E38="TN",R38=R$2),"",R38)</f>
      </c>
      <c r="V38" s="38">
        <f>IF(U38="",V37,V37+1)</f>
        <v>1</v>
      </c>
      <c r="W38" s="14">
        <f>IF(OR(V38&gt;U$2,U38=""),"",U38)</f>
      </c>
      <c r="X38" s="14">
        <f>IF(U38&lt;W$2,U38,"")</f>
      </c>
      <c r="Y38" s="38">
        <f>IF(R38&lt;R$2,ROUND(G38/P38/X$2*1000,0),"")</f>
      </c>
      <c r="Z38" s="48">
        <f>IF(R38&lt;R$2,ROUND((R38-X$2)/X$2,3),"")</f>
      </c>
      <c r="AA38" s="38">
        <f>IF(AND(R38&lt;=R39,R38&lt;R$2),1,0)</f>
        <v>0</v>
      </c>
      <c r="AE38" s="53">
        <f t="shared" si="0"/>
      </c>
      <c r="AF38" s="54">
        <f t="shared" si="1"/>
      </c>
      <c r="AG38" s="55">
        <f t="shared" si="2"/>
      </c>
      <c r="AH38" s="54">
        <f t="shared" si="3"/>
      </c>
      <c r="AI38" s="54">
        <f t="shared" si="4"/>
      </c>
      <c r="AJ38" s="56">
        <f t="shared" si="5"/>
      </c>
      <c r="AK38" s="56">
        <f t="shared" si="6"/>
      </c>
      <c r="AL38" s="56">
        <f t="shared" si="7"/>
      </c>
      <c r="AN38" s="57">
        <f t="shared" si="8"/>
      </c>
      <c r="AO38" s="54">
        <f t="shared" si="9"/>
      </c>
      <c r="AP38" s="58">
        <f t="shared" si="10"/>
      </c>
      <c r="AQ38" s="59">
        <f t="shared" si="11"/>
      </c>
      <c r="AR38" s="54">
        <f t="shared" si="12"/>
      </c>
      <c r="AS38" s="60">
        <f t="shared" si="13"/>
      </c>
      <c r="AT38" s="54">
        <f t="shared" si="14"/>
      </c>
      <c r="AU38" s="61"/>
      <c r="AV38" s="59">
        <f t="shared" si="15"/>
      </c>
      <c r="AW38" s="38">
        <f t="shared" si="16"/>
      </c>
      <c r="AX38" s="54">
        <f t="shared" si="17"/>
      </c>
      <c r="AY38" s="54">
        <f t="shared" si="18"/>
      </c>
    </row>
    <row r="39" spans="1:51" s="38" customFormat="1" ht="18" customHeight="1">
      <c r="A39" s="45"/>
      <c r="B39" s="46"/>
      <c r="C39" s="46"/>
      <c r="D39" s="47"/>
      <c r="E39" s="1"/>
      <c r="F39" s="2"/>
      <c r="G39" s="14">
        <f>IF(Q39&lt;1,Q39-F$3,"")</f>
      </c>
      <c r="H39" s="65"/>
      <c r="I39" s="14">
        <f>IF(AND(AA$2=1,Q39&lt;1),R39,"")</f>
      </c>
      <c r="J39" s="15">
        <f>IF(AA$2=1,T39,"")</f>
      </c>
      <c r="K39" s="16">
        <f>IF(AND(AA$2=1,AA$3=1,Q39&lt;1),Y39,"")</f>
      </c>
      <c r="L39" s="48">
        <f>IF(AND(AA$2=1,AA$3=1,Q39&lt;1),Z39,"")</f>
      </c>
      <c r="M39" s="16">
        <f>IF(AND(AA$2=1,AA$3=1,R39&gt;W$2,R39&lt;R$2),"Slow","")</f>
      </c>
      <c r="N39" s="14">
        <f>IF(AND(AA$2=1,AA$3=1,X39&lt;1),"yes","")</f>
      </c>
      <c r="O39" s="14"/>
      <c r="P39" s="16">
        <f>IF(H39="",1,H39)</f>
        <v>1</v>
      </c>
      <c r="Q39" s="14" t="str">
        <f>IF(F39=""," ",F39)</f>
        <v> </v>
      </c>
      <c r="R39" s="37">
        <f>IF(AND(Q39&lt;1,D39&gt;1),ROUND(G39/P39*1000/D39*24*3600,0)/(24*3600),R$2)</f>
        <v>41.625</v>
      </c>
      <c r="S39" s="16">
        <f>IF(Q39&lt;1,S38+1,"")</f>
      </c>
      <c r="T39" s="16">
        <f>IF(R39=R38,T38,S39)</f>
      </c>
      <c r="U39" s="14">
        <f>IF(OR(E39="TN",R39=R$2),"",R39)</f>
      </c>
      <c r="V39" s="38">
        <f>IF(U39="",V38,V38+1)</f>
        <v>1</v>
      </c>
      <c r="W39" s="14">
        <f>IF(OR(V39&gt;U$2,U39=""),"",U39)</f>
      </c>
      <c r="X39" s="14">
        <f>IF(U39&lt;W$2,U39,"")</f>
      </c>
      <c r="Y39" s="38">
        <f>IF(R39&lt;R$2,ROUND(G39/P39/X$2*1000,0),"")</f>
      </c>
      <c r="Z39" s="48">
        <f>IF(R39&lt;R$2,ROUND((R39-X$2)/X$2,3),"")</f>
      </c>
      <c r="AA39" s="38">
        <f>IF(AND(R39&lt;=R40,R39&lt;R$2),1,0)</f>
        <v>0</v>
      </c>
      <c r="AE39" s="53">
        <f t="shared" si="0"/>
      </c>
      <c r="AF39" s="54">
        <f t="shared" si="1"/>
      </c>
      <c r="AG39" s="55">
        <f t="shared" si="2"/>
      </c>
      <c r="AH39" s="54">
        <f t="shared" si="3"/>
      </c>
      <c r="AI39" s="54">
        <f t="shared" si="4"/>
      </c>
      <c r="AJ39" s="56">
        <f t="shared" si="5"/>
      </c>
      <c r="AK39" s="56">
        <f t="shared" si="6"/>
      </c>
      <c r="AL39" s="56">
        <f t="shared" si="7"/>
      </c>
      <c r="AN39" s="57">
        <f t="shared" si="8"/>
      </c>
      <c r="AO39" s="54">
        <f t="shared" si="9"/>
      </c>
      <c r="AP39" s="58">
        <f t="shared" si="10"/>
      </c>
      <c r="AQ39" s="59">
        <f t="shared" si="11"/>
      </c>
      <c r="AR39" s="54">
        <f t="shared" si="12"/>
      </c>
      <c r="AS39" s="60">
        <f t="shared" si="13"/>
      </c>
      <c r="AT39" s="54">
        <f t="shared" si="14"/>
      </c>
      <c r="AU39" s="61"/>
      <c r="AV39" s="59">
        <f t="shared" si="15"/>
      </c>
      <c r="AW39" s="38">
        <f t="shared" si="16"/>
      </c>
      <c r="AX39" s="54">
        <f t="shared" si="17"/>
      </c>
      <c r="AY39" s="54">
        <f t="shared" si="18"/>
      </c>
    </row>
    <row r="40" spans="1:51" s="38" customFormat="1" ht="18" customHeight="1">
      <c r="A40" s="45"/>
      <c r="B40" s="46"/>
      <c r="C40" s="46"/>
      <c r="D40" s="47"/>
      <c r="E40" s="1"/>
      <c r="F40" s="2"/>
      <c r="G40" s="14">
        <f>IF(Q40&lt;1,Q40-F$3,"")</f>
      </c>
      <c r="H40" s="65"/>
      <c r="I40" s="14">
        <f>IF(AND(AA$2=1,Q40&lt;1),R40,"")</f>
      </c>
      <c r="J40" s="15">
        <f>IF(AA$2=1,T40,"")</f>
      </c>
      <c r="K40" s="16">
        <f>IF(AND(AA$2=1,AA$3=1,Q40&lt;1),Y40,"")</f>
      </c>
      <c r="L40" s="48">
        <f>IF(AND(AA$2=1,AA$3=1,Q40&lt;1),Z40,"")</f>
      </c>
      <c r="M40" s="16">
        <f>IF(AND(AA$2=1,AA$3=1,R40&gt;W$2,R40&lt;R$2),"Slow","")</f>
      </c>
      <c r="N40" s="14">
        <f>IF(AND(AA$2=1,AA$3=1,X40&lt;1),"yes","")</f>
      </c>
      <c r="O40" s="14"/>
      <c r="P40" s="16">
        <f>IF(H40="",1,H40)</f>
        <v>1</v>
      </c>
      <c r="Q40" s="14" t="str">
        <f>IF(F40=""," ",F40)</f>
        <v> </v>
      </c>
      <c r="R40" s="37">
        <f>IF(AND(Q40&lt;1,D40&gt;1),ROUND(G40/P40*1000/D40*24*3600,0)/(24*3600),R$2)</f>
        <v>41.625</v>
      </c>
      <c r="S40" s="16">
        <f>IF(Q40&lt;1,S39+1,"")</f>
      </c>
      <c r="T40" s="16">
        <f>IF(R40=R39,T39,S40)</f>
      </c>
      <c r="U40" s="14">
        <f>IF(OR(E40="TN",R40=R$2),"",R40)</f>
      </c>
      <c r="V40" s="38">
        <f>IF(U40="",V39,V39+1)</f>
        <v>1</v>
      </c>
      <c r="W40" s="14">
        <f>IF(OR(V40&gt;U$2,U40=""),"",U40)</f>
      </c>
      <c r="X40" s="14">
        <f>IF(U40&lt;W$2,U40,"")</f>
      </c>
      <c r="Y40" s="38">
        <f>IF(R40&lt;R$2,ROUND(G40/P40/X$2*1000,0),"")</f>
      </c>
      <c r="Z40" s="48">
        <f>IF(R40&lt;R$2,ROUND((R40-X$2)/X$2,3),"")</f>
      </c>
      <c r="AA40" s="38">
        <f>IF(AND(R40&lt;=R41,R40&lt;R$2),1,0)</f>
        <v>0</v>
      </c>
      <c r="AE40" s="53">
        <f t="shared" si="0"/>
      </c>
      <c r="AF40" s="54">
        <f t="shared" si="1"/>
      </c>
      <c r="AG40" s="55">
        <f t="shared" si="2"/>
      </c>
      <c r="AH40" s="54">
        <f t="shared" si="3"/>
      </c>
      <c r="AI40" s="54">
        <f t="shared" si="4"/>
      </c>
      <c r="AJ40" s="56">
        <f t="shared" si="5"/>
      </c>
      <c r="AK40" s="56">
        <f t="shared" si="6"/>
      </c>
      <c r="AL40" s="56">
        <f t="shared" si="7"/>
      </c>
      <c r="AN40" s="57">
        <f t="shared" si="8"/>
      </c>
      <c r="AO40" s="54">
        <f t="shared" si="9"/>
      </c>
      <c r="AP40" s="58">
        <f t="shared" si="10"/>
      </c>
      <c r="AQ40" s="59">
        <f t="shared" si="11"/>
      </c>
      <c r="AR40" s="54">
        <f t="shared" si="12"/>
      </c>
      <c r="AS40" s="60">
        <f t="shared" si="13"/>
      </c>
      <c r="AT40" s="54">
        <f t="shared" si="14"/>
      </c>
      <c r="AU40" s="61"/>
      <c r="AV40" s="59">
        <f t="shared" si="15"/>
      </c>
      <c r="AW40" s="38">
        <f t="shared" si="16"/>
      </c>
      <c r="AX40" s="54">
        <f t="shared" si="17"/>
      </c>
      <c r="AY40" s="54">
        <f t="shared" si="18"/>
      </c>
    </row>
    <row r="41" spans="1:51" s="38" customFormat="1" ht="18" customHeight="1">
      <c r="A41" s="45"/>
      <c r="B41" s="46"/>
      <c r="C41" s="46"/>
      <c r="D41" s="47"/>
      <c r="E41" s="1"/>
      <c r="F41" s="2"/>
      <c r="G41" s="14">
        <f>IF(Q41&lt;1,Q41-F$3,"")</f>
      </c>
      <c r="H41" s="65"/>
      <c r="I41" s="14">
        <f>IF(AND(AA$2=1,Q41&lt;1),R41,"")</f>
      </c>
      <c r="J41" s="15">
        <f>IF(AA$2=1,T41,"")</f>
      </c>
      <c r="K41" s="16">
        <f>IF(AND(AA$2=1,AA$3=1,Q41&lt;1),Y41,"")</f>
      </c>
      <c r="L41" s="48">
        <f>IF(AND(AA$2=1,AA$3=1,Q41&lt;1),Z41,"")</f>
      </c>
      <c r="M41" s="16">
        <f>IF(AND(AA$2=1,AA$3=1,R41&gt;W$2,R41&lt;R$2),"Slow","")</f>
      </c>
      <c r="N41" s="14">
        <f>IF(AND(AA$2=1,AA$3=1,X41&lt;1),"yes","")</f>
      </c>
      <c r="O41" s="14"/>
      <c r="P41" s="16">
        <f>IF(H41="",1,H41)</f>
        <v>1</v>
      </c>
      <c r="Q41" s="14" t="str">
        <f>IF(F41=""," ",F41)</f>
        <v> </v>
      </c>
      <c r="R41" s="37">
        <f>IF(AND(Q41&lt;1,D41&gt;1),ROUND(G41/P41*1000/D41*24*3600,0)/(24*3600),R$2)</f>
        <v>41.625</v>
      </c>
      <c r="S41" s="16">
        <f>IF(Q41&lt;1,S40+1,"")</f>
      </c>
      <c r="T41" s="16">
        <f>IF(R41=R40,T40,S41)</f>
      </c>
      <c r="U41" s="14">
        <f>IF(OR(E41="TN",R41=R$2),"",R41)</f>
      </c>
      <c r="V41" s="38">
        <f>IF(U41="",V40,V40+1)</f>
        <v>1</v>
      </c>
      <c r="W41" s="14">
        <f>IF(OR(V41&gt;U$2,U41=""),"",U41)</f>
      </c>
      <c r="X41" s="14">
        <f>IF(U41&lt;W$2,U41,"")</f>
      </c>
      <c r="Y41" s="38">
        <f>IF(R41&lt;R$2,ROUND(G41/P41/X$2*1000,0),"")</f>
      </c>
      <c r="Z41" s="48">
        <f>IF(R41&lt;R$2,ROUND((R41-X$2)/X$2,3),"")</f>
      </c>
      <c r="AA41" s="38">
        <f>IF(AND(R41&lt;=R42,R41&lt;R$2),1,0)</f>
        <v>0</v>
      </c>
      <c r="AE41" s="53">
        <f t="shared" si="0"/>
      </c>
      <c r="AF41" s="54">
        <f t="shared" si="1"/>
      </c>
      <c r="AG41" s="55">
        <f t="shared" si="2"/>
      </c>
      <c r="AH41" s="54">
        <f t="shared" si="3"/>
      </c>
      <c r="AI41" s="54">
        <f t="shared" si="4"/>
      </c>
      <c r="AJ41" s="56">
        <f t="shared" si="5"/>
      </c>
      <c r="AK41" s="56">
        <f t="shared" si="6"/>
      </c>
      <c r="AL41" s="56">
        <f t="shared" si="7"/>
      </c>
      <c r="AN41" s="57">
        <f t="shared" si="8"/>
      </c>
      <c r="AO41" s="54">
        <f t="shared" si="9"/>
      </c>
      <c r="AP41" s="58">
        <f t="shared" si="10"/>
      </c>
      <c r="AQ41" s="59">
        <f t="shared" si="11"/>
      </c>
      <c r="AR41" s="54">
        <f t="shared" si="12"/>
      </c>
      <c r="AS41" s="60">
        <f t="shared" si="13"/>
      </c>
      <c r="AT41" s="54">
        <f t="shared" si="14"/>
      </c>
      <c r="AU41" s="61"/>
      <c r="AV41" s="59">
        <f t="shared" si="15"/>
      </c>
      <c r="AW41" s="38">
        <f t="shared" si="16"/>
      </c>
      <c r="AX41" s="54">
        <f t="shared" si="17"/>
      </c>
      <c r="AY41" s="54">
        <f t="shared" si="18"/>
      </c>
    </row>
    <row r="42" spans="1:51" s="38" customFormat="1" ht="18" customHeight="1">
      <c r="A42" s="45"/>
      <c r="B42" s="46"/>
      <c r="C42" s="46"/>
      <c r="D42" s="47"/>
      <c r="E42" s="1"/>
      <c r="F42" s="2"/>
      <c r="G42" s="14">
        <f>IF(Q42&lt;1,Q42-F$3,"")</f>
      </c>
      <c r="H42" s="65"/>
      <c r="I42" s="14">
        <f>IF(AND(AA$2=1,Q42&lt;1),R42,"")</f>
      </c>
      <c r="J42" s="15">
        <f>IF(AA$2=1,T42,"")</f>
      </c>
      <c r="K42" s="16">
        <f>IF(AND(AA$2=1,AA$3=1,Q42&lt;1),Y42,"")</f>
      </c>
      <c r="L42" s="48">
        <f>IF(AND(AA$2=1,AA$3=1,Q42&lt;1),Z42,"")</f>
      </c>
      <c r="M42" s="16">
        <f>IF(AND(AA$2=1,AA$3=1,R42&gt;W$2,R42&lt;R$2),"Slow","")</f>
      </c>
      <c r="N42" s="14">
        <f>IF(AND(AA$2=1,AA$3=1,X42&lt;1),"yes","")</f>
      </c>
      <c r="O42" s="14"/>
      <c r="P42" s="16">
        <f>IF(H42="",1,H42)</f>
        <v>1</v>
      </c>
      <c r="Q42" s="14" t="str">
        <f>IF(F42=""," ",F42)</f>
        <v> </v>
      </c>
      <c r="R42" s="37">
        <f>IF(AND(Q42&lt;1,D42&gt;1),ROUND(G42/P42*1000/D42*24*3600,0)/(24*3600),R$2)</f>
        <v>41.625</v>
      </c>
      <c r="S42" s="16">
        <f>IF(Q42&lt;1,S41+1,"")</f>
      </c>
      <c r="T42" s="16">
        <f>IF(R42=R41,T41,S42)</f>
      </c>
      <c r="U42" s="14">
        <f>IF(OR(E42="TN",R42=R$2),"",R42)</f>
      </c>
      <c r="V42" s="38">
        <f>IF(U42="",V41,V41+1)</f>
        <v>1</v>
      </c>
      <c r="W42" s="14">
        <f>IF(OR(V42&gt;U$2,U42=""),"",U42)</f>
      </c>
      <c r="X42" s="14">
        <f>IF(U42&lt;W$2,U42,"")</f>
      </c>
      <c r="Y42" s="38">
        <f>IF(R42&lt;R$2,ROUND(G42/P42/X$2*1000,0),"")</f>
      </c>
      <c r="Z42" s="48">
        <f>IF(R42&lt;R$2,ROUND((R42-X$2)/X$2,3),"")</f>
      </c>
      <c r="AA42" s="38">
        <f>IF(AND(R42&lt;=R43,R42&lt;R$2),1,0)</f>
        <v>0</v>
      </c>
      <c r="AE42" s="53">
        <f t="shared" si="0"/>
      </c>
      <c r="AF42" s="54">
        <f t="shared" si="1"/>
      </c>
      <c r="AG42" s="55">
        <f t="shared" si="2"/>
      </c>
      <c r="AH42" s="54">
        <f t="shared" si="3"/>
      </c>
      <c r="AI42" s="54">
        <f t="shared" si="4"/>
      </c>
      <c r="AJ42" s="56">
        <f t="shared" si="5"/>
      </c>
      <c r="AK42" s="56">
        <f t="shared" si="6"/>
      </c>
      <c r="AL42" s="56">
        <f t="shared" si="7"/>
      </c>
      <c r="AN42" s="57">
        <f t="shared" si="8"/>
      </c>
      <c r="AO42" s="54">
        <f t="shared" si="9"/>
      </c>
      <c r="AP42" s="58">
        <f t="shared" si="10"/>
      </c>
      <c r="AQ42" s="59">
        <f t="shared" si="11"/>
      </c>
      <c r="AR42" s="54">
        <f t="shared" si="12"/>
      </c>
      <c r="AS42" s="60">
        <f t="shared" si="13"/>
      </c>
      <c r="AT42" s="54">
        <f t="shared" si="14"/>
      </c>
      <c r="AU42" s="61"/>
      <c r="AV42" s="59">
        <f t="shared" si="15"/>
      </c>
      <c r="AW42" s="38">
        <f t="shared" si="16"/>
      </c>
      <c r="AX42" s="54">
        <f t="shared" si="17"/>
      </c>
      <c r="AY42" s="54">
        <f t="shared" si="18"/>
      </c>
    </row>
    <row r="43" spans="1:51" s="38" customFormat="1" ht="18" customHeight="1">
      <c r="A43" s="45"/>
      <c r="B43" s="46"/>
      <c r="C43" s="46"/>
      <c r="D43" s="47"/>
      <c r="E43" s="1"/>
      <c r="F43" s="2"/>
      <c r="G43" s="14">
        <f>IF(Q43&lt;1,Q43-F$3,"")</f>
      </c>
      <c r="H43" s="65"/>
      <c r="I43" s="14">
        <f>IF(AND(AA$2=1,Q43&lt;1),R43,"")</f>
      </c>
      <c r="J43" s="15">
        <f>IF(AA$2=1,T43,"")</f>
      </c>
      <c r="K43" s="16">
        <f>IF(AND(AA$2=1,AA$3=1,Q43&lt;1),Y43,"")</f>
      </c>
      <c r="L43" s="48">
        <f>IF(AND(AA$2=1,AA$3=1,Q43&lt;1),Z43,"")</f>
      </c>
      <c r="M43" s="16">
        <f>IF(AND(AA$2=1,AA$3=1,R43&gt;W$2,R43&lt;R$2),"Slow","")</f>
      </c>
      <c r="N43" s="14">
        <f>IF(AND(AA$2=1,AA$3=1,X43&lt;1),"yes","")</f>
      </c>
      <c r="O43" s="14"/>
      <c r="P43" s="16">
        <f>IF(H43="",1,H43)</f>
        <v>1</v>
      </c>
      <c r="Q43" s="14" t="str">
        <f>IF(F43=""," ",F43)</f>
        <v> </v>
      </c>
      <c r="R43" s="37">
        <f>IF(AND(Q43&lt;1,D43&gt;1),ROUND(G43/P43*1000/D43*24*3600,0)/(24*3600),R$2)</f>
        <v>41.625</v>
      </c>
      <c r="S43" s="16">
        <f>IF(Q43&lt;1,S42+1,"")</f>
      </c>
      <c r="T43" s="16">
        <f>IF(R43=R42,T42,S43)</f>
      </c>
      <c r="U43" s="14">
        <f>IF(OR(E43="TN",R43=R$2),"",R43)</f>
      </c>
      <c r="V43" s="38">
        <f>IF(U43="",V42,V42+1)</f>
        <v>1</v>
      </c>
      <c r="W43" s="14">
        <f>IF(OR(V43&gt;U$2,U43=""),"",U43)</f>
      </c>
      <c r="X43" s="14">
        <f>IF(U43&lt;W$2,U43,"")</f>
      </c>
      <c r="Y43" s="38">
        <f>IF(R43&lt;R$2,ROUND(G43/P43/X$2*1000,0),"")</f>
      </c>
      <c r="Z43" s="48">
        <f>IF(R43&lt;R$2,ROUND((R43-X$2)/X$2,3),"")</f>
      </c>
      <c r="AA43" s="38">
        <f>IF(AND(R43&lt;=R44,R43&lt;R$2),1,0)</f>
        <v>0</v>
      </c>
      <c r="AE43" s="53">
        <f t="shared" si="0"/>
      </c>
      <c r="AF43" s="54">
        <f t="shared" si="1"/>
      </c>
      <c r="AG43" s="55">
        <f t="shared" si="2"/>
      </c>
      <c r="AH43" s="54">
        <f t="shared" si="3"/>
      </c>
      <c r="AI43" s="54">
        <f t="shared" si="4"/>
      </c>
      <c r="AJ43" s="56">
        <f t="shared" si="5"/>
      </c>
      <c r="AK43" s="56">
        <f t="shared" si="6"/>
      </c>
      <c r="AL43" s="56">
        <f t="shared" si="7"/>
      </c>
      <c r="AN43" s="57">
        <f t="shared" si="8"/>
      </c>
      <c r="AO43" s="54">
        <f t="shared" si="9"/>
      </c>
      <c r="AP43" s="58">
        <f t="shared" si="10"/>
      </c>
      <c r="AQ43" s="59">
        <f t="shared" si="11"/>
      </c>
      <c r="AR43" s="54">
        <f t="shared" si="12"/>
      </c>
      <c r="AS43" s="60">
        <f t="shared" si="13"/>
      </c>
      <c r="AT43" s="54">
        <f t="shared" si="14"/>
      </c>
      <c r="AU43" s="61"/>
      <c r="AV43" s="59">
        <f t="shared" si="15"/>
      </c>
      <c r="AW43" s="38">
        <f t="shared" si="16"/>
      </c>
      <c r="AX43" s="54">
        <f t="shared" si="17"/>
      </c>
      <c r="AY43" s="54">
        <f t="shared" si="18"/>
      </c>
    </row>
    <row r="44" spans="1:51" s="38" customFormat="1" ht="18" customHeight="1">
      <c r="A44" s="45"/>
      <c r="B44" s="46"/>
      <c r="C44" s="46"/>
      <c r="D44" s="47"/>
      <c r="E44" s="1"/>
      <c r="F44" s="2"/>
      <c r="G44" s="14">
        <f>IF(Q44&lt;1,Q44-F$3,"")</f>
      </c>
      <c r="H44" s="65"/>
      <c r="I44" s="14">
        <f>IF(AND(AA$2=1,Q44&lt;1),R44,"")</f>
      </c>
      <c r="J44" s="15">
        <f>IF(AA$2=1,T44,"")</f>
      </c>
      <c r="K44" s="16">
        <f>IF(AND(AA$2=1,AA$3=1,Q44&lt;1),Y44,"")</f>
      </c>
      <c r="L44" s="48">
        <f>IF(AND(AA$2=1,AA$3=1,Q44&lt;1),Z44,"")</f>
      </c>
      <c r="M44" s="16">
        <f>IF(AND(AA$2=1,AA$3=1,R44&gt;W$2,R44&lt;R$2),"Slow","")</f>
      </c>
      <c r="N44" s="14">
        <f>IF(AND(AA$2=1,AA$3=1,X44&lt;1),"yes","")</f>
      </c>
      <c r="O44" s="14"/>
      <c r="P44" s="16">
        <f>IF(H44="",1,H44)</f>
        <v>1</v>
      </c>
      <c r="Q44" s="14" t="str">
        <f>IF(F44=""," ",F44)</f>
        <v> </v>
      </c>
      <c r="R44" s="37">
        <f>IF(AND(Q44&lt;1,D44&gt;1),ROUND(G44/P44*1000/D44*24*3600,0)/(24*3600),R$2)</f>
        <v>41.625</v>
      </c>
      <c r="S44" s="16">
        <f>IF(Q44&lt;1,S43+1,"")</f>
      </c>
      <c r="T44" s="16">
        <f>IF(R44=R43,T43,S44)</f>
      </c>
      <c r="U44" s="14">
        <f>IF(OR(E44="TN",R44=R$2),"",R44)</f>
      </c>
      <c r="V44" s="38">
        <f>IF(U44="",V43,V43+1)</f>
        <v>1</v>
      </c>
      <c r="W44" s="14">
        <f>IF(OR(V44&gt;U$2,U44=""),"",U44)</f>
      </c>
      <c r="X44" s="14">
        <f>IF(U44&lt;W$2,U44,"")</f>
      </c>
      <c r="Y44" s="38">
        <f>IF(R44&lt;R$2,ROUND(G44/P44/X$2*1000,0),"")</f>
      </c>
      <c r="Z44" s="48">
        <f>IF(R44&lt;R$2,ROUND((R44-X$2)/X$2,3),"")</f>
      </c>
      <c r="AA44" s="38">
        <f>IF(AND(R44&lt;=R45,R44&lt;R$2),1,0)</f>
        <v>0</v>
      </c>
      <c r="AE44" s="53">
        <f t="shared" si="0"/>
      </c>
      <c r="AF44" s="54">
        <f t="shared" si="1"/>
      </c>
      <c r="AG44" s="55">
        <f t="shared" si="2"/>
      </c>
      <c r="AH44" s="54">
        <f t="shared" si="3"/>
      </c>
      <c r="AI44" s="54">
        <f t="shared" si="4"/>
      </c>
      <c r="AJ44" s="56">
        <f t="shared" si="5"/>
      </c>
      <c r="AK44" s="56">
        <f t="shared" si="6"/>
      </c>
      <c r="AL44" s="56">
        <f t="shared" si="7"/>
      </c>
      <c r="AN44" s="57">
        <f t="shared" si="8"/>
      </c>
      <c r="AO44" s="54">
        <f t="shared" si="9"/>
      </c>
      <c r="AP44" s="58">
        <f t="shared" si="10"/>
      </c>
      <c r="AQ44" s="59">
        <f t="shared" si="11"/>
      </c>
      <c r="AR44" s="54">
        <f t="shared" si="12"/>
      </c>
      <c r="AS44" s="60">
        <f t="shared" si="13"/>
      </c>
      <c r="AT44" s="54">
        <f t="shared" si="14"/>
      </c>
      <c r="AU44" s="61"/>
      <c r="AV44" s="59">
        <f t="shared" si="15"/>
      </c>
      <c r="AW44" s="38">
        <f t="shared" si="16"/>
      </c>
      <c r="AX44" s="54">
        <f t="shared" si="17"/>
      </c>
      <c r="AY44" s="54">
        <f t="shared" si="18"/>
      </c>
    </row>
    <row r="45" spans="1:51" s="38" customFormat="1" ht="18" customHeight="1">
      <c r="A45" s="45"/>
      <c r="B45" s="46"/>
      <c r="C45" s="46"/>
      <c r="D45" s="47"/>
      <c r="E45" s="1"/>
      <c r="F45" s="2"/>
      <c r="G45" s="14">
        <f>IF(Q45&lt;1,Q45-F$3,"")</f>
      </c>
      <c r="H45" s="65"/>
      <c r="I45" s="14">
        <f>IF(AND(AA$2=1,Q45&lt;1),R45,"")</f>
      </c>
      <c r="J45" s="15">
        <f>IF(AA$2=1,T45,"")</f>
      </c>
      <c r="K45" s="16">
        <f>IF(AND(AA$2=1,AA$3=1,Q45&lt;1),Y45,"")</f>
      </c>
      <c r="L45" s="48">
        <f>IF(AND(AA$2=1,AA$3=1,Q45&lt;1),Z45,"")</f>
      </c>
      <c r="M45" s="16">
        <f>IF(AND(AA$2=1,AA$3=1,R45&gt;W$2,R45&lt;R$2),"Slow","")</f>
      </c>
      <c r="N45" s="14">
        <f>IF(AND(AA$2=1,AA$3=1,X45&lt;1),"yes","")</f>
      </c>
      <c r="O45" s="14"/>
      <c r="P45" s="16">
        <f>IF(H45="",1,H45)</f>
        <v>1</v>
      </c>
      <c r="Q45" s="14" t="str">
        <f>IF(F45=""," ",F45)</f>
        <v> </v>
      </c>
      <c r="R45" s="37">
        <f>IF(AND(Q45&lt;1,D45&gt;1),ROUND(G45/P45*1000/D45*24*3600,0)/(24*3600),R$2)</f>
        <v>41.625</v>
      </c>
      <c r="S45" s="16">
        <f>IF(Q45&lt;1,S44+1,"")</f>
      </c>
      <c r="T45" s="16">
        <f>IF(R45=R44,T44,S45)</f>
      </c>
      <c r="U45" s="14">
        <f>IF(OR(E45="TN",R45=R$2),"",R45)</f>
      </c>
      <c r="V45" s="38">
        <f>IF(U45="",V44,V44+1)</f>
        <v>1</v>
      </c>
      <c r="W45" s="14">
        <f>IF(OR(V45&gt;U$2,U45=""),"",U45)</f>
      </c>
      <c r="X45" s="14">
        <f>IF(U45&lt;W$2,U45,"")</f>
      </c>
      <c r="Y45" s="38">
        <f>IF(R45&lt;R$2,ROUND(G45/P45/X$2*1000,0),"")</f>
      </c>
      <c r="Z45" s="48">
        <f>IF(R45&lt;R$2,ROUND((R45-X$2)/X$2,3),"")</f>
      </c>
      <c r="AA45" s="38">
        <f>IF(AND(R45&lt;=R46,R45&lt;R$2),1,0)</f>
        <v>0</v>
      </c>
      <c r="AE45" s="53">
        <f t="shared" si="0"/>
      </c>
      <c r="AF45" s="54">
        <f t="shared" si="1"/>
      </c>
      <c r="AG45" s="55">
        <f t="shared" si="2"/>
      </c>
      <c r="AH45" s="54">
        <f t="shared" si="3"/>
      </c>
      <c r="AI45" s="54">
        <f t="shared" si="4"/>
      </c>
      <c r="AJ45" s="56">
        <f t="shared" si="5"/>
      </c>
      <c r="AK45" s="56">
        <f t="shared" si="6"/>
      </c>
      <c r="AL45" s="56">
        <f t="shared" si="7"/>
      </c>
      <c r="AN45" s="57">
        <f t="shared" si="8"/>
      </c>
      <c r="AO45" s="54">
        <f t="shared" si="9"/>
      </c>
      <c r="AP45" s="58">
        <f t="shared" si="10"/>
      </c>
      <c r="AQ45" s="59">
        <f t="shared" si="11"/>
      </c>
      <c r="AR45" s="54">
        <f t="shared" si="12"/>
      </c>
      <c r="AS45" s="60">
        <f t="shared" si="13"/>
      </c>
      <c r="AT45" s="54">
        <f t="shared" si="14"/>
      </c>
      <c r="AU45" s="61"/>
      <c r="AV45" s="59">
        <f t="shared" si="15"/>
      </c>
      <c r="AW45" s="38">
        <f t="shared" si="16"/>
      </c>
      <c r="AX45" s="54">
        <f t="shared" si="17"/>
      </c>
      <c r="AY45" s="54">
        <f t="shared" si="18"/>
      </c>
    </row>
    <row r="46" ht="12.75">
      <c r="R46" s="30">
        <v>41.625</v>
      </c>
    </row>
  </sheetData>
  <sheetProtection sheet="1" objects="1" scenarios="1"/>
  <printOptions/>
  <pageMargins left="0.63" right="0.57" top="0.89" bottom="1" header="0.5" footer="0.5"/>
  <pageSetup fitToHeight="1" fitToWidth="1" horizontalDpi="200" verticalDpi="200" orientation="landscape" paperSize="9" r:id="rId2"/>
  <headerFooter alignWithMargins="0">
    <oddHeader>&amp;C&amp;"Arial,Bold"&amp;16FYCA Race Result and RYA YR2 Performance Spreadsheet</oddHeader>
    <oddFooter>&amp;L&amp;8File: &amp;F  Sheet: &amp;A  Printed &amp;D @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FYCA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FYCA_YR2C race result spreadsheet</dc:title>
  <dc:subject>YR2 performance assessment</dc:subject>
  <dc:creator>Jim Scott</dc:creator>
  <cp:keywords/>
  <dc:description>13/07/02: Issue B Sort routine unchanged &amp; cell format reset added.
14/07/02: Explanation notes added.
16/10/02: Average lap column + % performance  + increase to 40 boats.
12/02/03: 999 inserted at cell R46 to cover full 40 result entry. Formula 'copy down' error in column AA corrected.
26/09/05: Transfer equations for FYCA Database input added with random number generator for RID value.</dc:description>
  <cp:lastModifiedBy>FCC Laptop</cp:lastModifiedBy>
  <cp:lastPrinted>2019-04-25T21:17:24Z</cp:lastPrinted>
  <dcterms:created xsi:type="dcterms:W3CDTF">2002-05-21T07:26:01Z</dcterms:created>
  <dcterms:modified xsi:type="dcterms:W3CDTF">2019-05-22T20:31:16Z</dcterms:modified>
  <cp:category/>
  <cp:version/>
  <cp:contentType/>
  <cp:contentStatus/>
</cp:coreProperties>
</file>